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xl/comments1.xml" ContentType="application/vnd.openxmlformats-officedocument.spreadsheetml.comments+xml"/>
  <Override PartName="/docProps/app.xml" ContentType="application/vnd.openxmlformats-officedocument.extended-properties+xml"/>
  <Override PartName="/docProps/core.xml" ContentType="application/vnd.openxmlformats-package.core-properties+xml"/>
  <Override PartName="/xl/persons/person.xml" ContentType="application/vnd.ms-excel.perso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autoCompressPictures="0" defaultThemeVersion="124226"/>
  <bookViews>
    <workbookView xWindow="-120" yWindow="-120" windowWidth="25440" windowHeight="15390"/>
  </bookViews>
  <sheets>
    <sheet name="Grants" sheetId="3" r:id="rId1"/>
  </sheets>
  <definedNames>
    <definedName name="_xlnm.Print_Titles" localSheetId="0">Grants!$9:$10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58" i="3" l="1"/>
  <c r="D259" i="3" s="1"/>
  <c r="D252" i="3" s="1"/>
  <c r="F254" i="3"/>
  <c r="F255" i="3" s="1"/>
  <c r="F252" i="3" s="1"/>
  <c r="F250" i="3"/>
  <c r="F245" i="3"/>
  <c r="F246" i="3" s="1"/>
  <c r="D241" i="3"/>
  <c r="D240" i="3"/>
  <c r="D239" i="3"/>
  <c r="F235" i="3"/>
  <c r="F236" i="3" s="1"/>
  <c r="D231" i="3"/>
  <c r="D232" i="3" s="1"/>
  <c r="D227" i="3"/>
  <c r="D228" i="3" s="1"/>
  <c r="D223" i="3"/>
  <c r="D222" i="3"/>
  <c r="F221" i="3"/>
  <c r="F224" i="3" s="1"/>
  <c r="D220" i="3"/>
  <c r="D219" i="3"/>
  <c r="D214" i="3"/>
  <c r="D213" i="3"/>
  <c r="D212" i="3"/>
  <c r="D208" i="3"/>
  <c r="D209" i="3" s="1"/>
  <c r="D204" i="3"/>
  <c r="D205" i="3" s="1"/>
  <c r="D200" i="3"/>
  <c r="D201" i="3" s="1"/>
  <c r="D196" i="3"/>
  <c r="D195" i="3"/>
  <c r="D194" i="3"/>
  <c r="D193" i="3"/>
  <c r="F192" i="3"/>
  <c r="D191" i="3"/>
  <c r="D190" i="3"/>
  <c r="D189" i="3"/>
  <c r="D188" i="3"/>
  <c r="F187" i="3"/>
  <c r="D186" i="3"/>
  <c r="D185" i="3"/>
  <c r="D184" i="3"/>
  <c r="D183" i="3"/>
  <c r="D179" i="3"/>
  <c r="D178" i="3"/>
  <c r="D176" i="3"/>
  <c r="D175" i="3"/>
  <c r="D171" i="3"/>
  <c r="D172" i="3" s="1"/>
  <c r="D166" i="3"/>
  <c r="D165" i="3"/>
  <c r="D164" i="3"/>
  <c r="D163" i="3"/>
  <c r="D162" i="3"/>
  <c r="D158" i="3"/>
  <c r="D157" i="3"/>
  <c r="D156" i="3"/>
  <c r="D155" i="3"/>
  <c r="D154" i="3"/>
  <c r="D151" i="3"/>
  <c r="D123" i="3"/>
  <c r="D122" i="3"/>
  <c r="D121" i="3"/>
  <c r="D120" i="3"/>
  <c r="D119" i="3"/>
  <c r="D118" i="3"/>
  <c r="D117" i="3"/>
  <c r="D116" i="3"/>
  <c r="D115" i="3"/>
  <c r="D114" i="3"/>
  <c r="D113" i="3"/>
  <c r="F112" i="3"/>
  <c r="D111" i="3"/>
  <c r="D110" i="3"/>
  <c r="F109" i="3"/>
  <c r="F108" i="3"/>
  <c r="F107" i="3"/>
  <c r="D106" i="3"/>
  <c r="F105" i="3"/>
  <c r="D104" i="3"/>
  <c r="D103" i="3"/>
  <c r="D102" i="3"/>
  <c r="D101" i="3"/>
  <c r="D100" i="3"/>
  <c r="F99" i="3"/>
  <c r="D98" i="3"/>
  <c r="D97" i="3"/>
  <c r="F96" i="3"/>
  <c r="D95" i="3"/>
  <c r="D91" i="3"/>
  <c r="D90" i="3"/>
  <c r="D89" i="3"/>
  <c r="F86" i="3"/>
  <c r="D86" i="3"/>
  <c r="D80" i="3"/>
  <c r="D73" i="3"/>
  <c r="D61" i="3"/>
  <c r="D62" i="3" s="1"/>
  <c r="D57" i="3"/>
  <c r="D58" i="3" s="1"/>
  <c r="D53" i="3"/>
  <c r="D52" i="3"/>
  <c r="F51" i="3"/>
  <c r="F50" i="3"/>
  <c r="F49" i="3"/>
  <c r="F48" i="3"/>
  <c r="D44" i="3"/>
  <c r="D45" i="3" s="1"/>
  <c r="F40" i="3"/>
  <c r="F39" i="3"/>
  <c r="D35" i="3"/>
  <c r="D36" i="3" s="1"/>
  <c r="D31" i="3"/>
  <c r="D32" i="3" s="1"/>
  <c r="D27" i="3"/>
  <c r="D28" i="3" s="1"/>
  <c r="D23" i="3"/>
  <c r="D22" i="3"/>
  <c r="E19" i="3"/>
  <c r="D18" i="3"/>
  <c r="D17" i="3"/>
  <c r="F16" i="3"/>
  <c r="F15" i="3"/>
  <c r="D14" i="3"/>
  <c r="D13" i="3"/>
  <c r="F124" i="3" l="1"/>
  <c r="F64" i="3" s="1"/>
  <c r="F41" i="3"/>
  <c r="F19" i="3"/>
  <c r="D92" i="3"/>
  <c r="D24" i="3"/>
  <c r="D224" i="3"/>
  <c r="D54" i="3"/>
  <c r="F54" i="3"/>
  <c r="D19" i="3"/>
  <c r="D124" i="3"/>
  <c r="D167" i="3"/>
  <c r="D180" i="3"/>
  <c r="D197" i="3"/>
  <c r="D215" i="3"/>
  <c r="D242" i="3"/>
  <c r="D159" i="3"/>
  <c r="F197" i="3"/>
  <c r="F169" i="3" s="1"/>
  <c r="F217" i="3"/>
  <c r="D64" i="3" l="1"/>
  <c r="D217" i="3"/>
  <c r="F261" i="3"/>
  <c r="F11" i="3"/>
  <c r="D169" i="3"/>
  <c r="D11" i="3"/>
  <c r="D261" i="3" l="1"/>
</calcChain>
</file>

<file path=xl/comments1.xml><?xml version="1.0" encoding="utf-8"?>
<comments xmlns="http://schemas.openxmlformats.org/spreadsheetml/2006/main">
  <authors>
    <author>tc={6ED66FD0-4B09-4958-AD56-21D6F30157AC}</author>
  </authors>
  <commentList>
    <comment ref="B217" authorId="0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@Ma. Guillerma Elena C. Tuazon Global Funds are missing. Please add them under multilaterals consistent with footnote B.
Reply:
    Yes, @Sittie Moreina M. Olalia, this is in progress</t>
        </r>
      </text>
    </comment>
  </commentList>
</comments>
</file>

<file path=xl/sharedStrings.xml><?xml version="1.0" encoding="utf-8"?>
<sst xmlns="http://schemas.openxmlformats.org/spreadsheetml/2006/main" count="372" uniqueCount="202">
  <si>
    <t>Project Name</t>
  </si>
  <si>
    <t>New Zealand</t>
  </si>
  <si>
    <t>Australia</t>
  </si>
  <si>
    <t>Bangladesh</t>
  </si>
  <si>
    <t>India</t>
  </si>
  <si>
    <t>Nepal</t>
  </si>
  <si>
    <t>Cambodia</t>
  </si>
  <si>
    <t>Indonesia</t>
  </si>
  <si>
    <t>Philippines</t>
  </si>
  <si>
    <t>TOTAL</t>
  </si>
  <si>
    <t>Pakistan</t>
  </si>
  <si>
    <t>Global Environment Facility</t>
  </si>
  <si>
    <t>Tonga</t>
  </si>
  <si>
    <t>Regional</t>
  </si>
  <si>
    <t>Source of Cofinancing</t>
  </si>
  <si>
    <t>Technical Assistance</t>
  </si>
  <si>
    <t>Project Component</t>
  </si>
  <si>
    <t>World Bank</t>
  </si>
  <si>
    <t xml:space="preserve">Amount </t>
  </si>
  <si>
    <t>Mongolia</t>
  </si>
  <si>
    <t>Netherlands Trust Fund under the Water Financing Partnership Facility</t>
  </si>
  <si>
    <t>United States</t>
  </si>
  <si>
    <t>($’000)</t>
  </si>
  <si>
    <t>Subtotal</t>
  </si>
  <si>
    <t>Uzbekistan</t>
  </si>
  <si>
    <t>Sri Lanka</t>
  </si>
  <si>
    <t>Papua New Guinea</t>
  </si>
  <si>
    <t>Germany</t>
  </si>
  <si>
    <t>Korea, Republic of</t>
  </si>
  <si>
    <t>Maldives</t>
  </si>
  <si>
    <t>PRIVATE SECTOR</t>
  </si>
  <si>
    <t>People’s Republic of China Poverty Reduction and Regional Cooperation Fund</t>
  </si>
  <si>
    <t>Republic of Korea e-Asia and Knowledge Partnership Fund</t>
  </si>
  <si>
    <t>Azerbaijan</t>
  </si>
  <si>
    <t>SINGLE-DONOR TRUST FUNDS</t>
  </si>
  <si>
    <t>MULTI-DONOR TRUST FUNDS</t>
  </si>
  <si>
    <t>BILATERALS, Project Specific</t>
  </si>
  <si>
    <t>Austria</t>
  </si>
  <si>
    <t>Cook Islands</t>
  </si>
  <si>
    <t>Tajikistan</t>
  </si>
  <si>
    <t>Bhutan</t>
  </si>
  <si>
    <t>Palau</t>
  </si>
  <si>
    <t>Preparing Urban Development Projects (Supplementary)</t>
  </si>
  <si>
    <t>Armenia</t>
  </si>
  <si>
    <t>Water Financing Partnership Facility (Multi-Donor Trust Fund)</t>
  </si>
  <si>
    <t>Global Partnership for Education Fund</t>
  </si>
  <si>
    <t>Pacific Private Sector Development Initiative, Phase IV 
   (Supplementary)</t>
  </si>
  <si>
    <t>Implementation of Sustainable Transport for All 
   (Supplementary)</t>
  </si>
  <si>
    <t>Preparing Environmental and Rural Development Projects 
   (Supplementary)</t>
  </si>
  <si>
    <t>High-Level Technology Fund</t>
  </si>
  <si>
    <t>Projects Involving Sovereign Grant Cofinancing, 2021</t>
  </si>
  <si>
    <t>Solomon Island</t>
  </si>
  <si>
    <t>Domestic Resource Mobilization</t>
  </si>
  <si>
    <t>Economic Recovery Support Program</t>
  </si>
  <si>
    <t>Canada</t>
  </si>
  <si>
    <t>France</t>
  </si>
  <si>
    <t>Japan</t>
  </si>
  <si>
    <t>Supporting Fourth Primary Education Development Program</t>
  </si>
  <si>
    <t xml:space="preserve">Presidente Nicolau Lobato International Airport Expansion </t>
  </si>
  <si>
    <t>Supporting Sustainable Economic Recovery Program</t>
  </si>
  <si>
    <t>Strengthening Education in the Pacific Region (Supplementary)</t>
  </si>
  <si>
    <t>United Kingdom</t>
  </si>
  <si>
    <t>Preparing Transport Projects (Supplementary)</t>
  </si>
  <si>
    <t>Power Sector Reform Support Program</t>
  </si>
  <si>
    <t xml:space="preserve">Ireland Trust Fund for Building Climate Change and Disaster Resilience in Small Island Developing States </t>
  </si>
  <si>
    <t>COVID-19 Response for Affected Poor and Vulnerable Groups</t>
  </si>
  <si>
    <t>Promoting Advanced Biofuels Through High Technology</t>
  </si>
  <si>
    <t>Promoting Life Cycle Management of Fluorocarbons</t>
  </si>
  <si>
    <t xml:space="preserve">Strengthening Social Resilience Program (Subprogram 1)  </t>
  </si>
  <si>
    <t>Supporting Digital Cambodia for Inclusive Development Project</t>
  </si>
  <si>
    <t>Technical Support and Capacity Development in Urban Planning</t>
  </si>
  <si>
    <t>Supporting Safe Recovery of Travel and Tourism</t>
  </si>
  <si>
    <t>Enhancing Market Linkages for Farmer Producer Organizations</t>
  </si>
  <si>
    <t>Supporting COVID-19 Response and Vaccination Program</t>
  </si>
  <si>
    <t>Forest Sector Development Program</t>
  </si>
  <si>
    <t>EdTech Solutions for Last Mile Schools in COVID-19</t>
  </si>
  <si>
    <t>Upgrading and Enhancing the Corporate Registration System</t>
  </si>
  <si>
    <t>Supporting Secondary Education Sector Improvement Program</t>
  </si>
  <si>
    <t xml:space="preserve">Supporting Trade Logistics Facilitation (Supplementary) </t>
  </si>
  <si>
    <t>Turkmenistan</t>
  </si>
  <si>
    <t>Enhancing Trade Facilitation in Southeast Asia</t>
  </si>
  <si>
    <t>Kyrgyz Republic</t>
  </si>
  <si>
    <t>Promotion of the Northeast Asia Power System Interconnection</t>
  </si>
  <si>
    <t>Developing an Electricity Market (Supplementary)</t>
  </si>
  <si>
    <t>Financial Inclusion Framework Strengthening (Supplementary)</t>
  </si>
  <si>
    <t>Institutional Capacity Support for Modern Utility Management</t>
  </si>
  <si>
    <t>Preparing Road Modernization Projects</t>
  </si>
  <si>
    <t>Southeast Asia Sustainable Tourism Facility</t>
  </si>
  <si>
    <t xml:space="preserve">Spanish Cooperation Fund for Technical Assistance </t>
  </si>
  <si>
    <t>Accelerating the Clean Energy Transition in Southeast Asia</t>
  </si>
  <si>
    <t xml:space="preserve">Clean Energy Fund </t>
  </si>
  <si>
    <t>Study on the Development of Green Ports and Shipping</t>
  </si>
  <si>
    <t>Preparing the Pacific Regional Financing Facility (Supplementary)</t>
  </si>
  <si>
    <t>Supporting Public Sector Governance Reform (Supplementary)</t>
  </si>
  <si>
    <t>Urban Transport Electrification</t>
  </si>
  <si>
    <t>Integrated Perinatal Care (Supplementary)</t>
  </si>
  <si>
    <t>Accelerating Innovation in Transport</t>
  </si>
  <si>
    <t>Digital Development Facility for Asia and the Pacific (Supplementary)</t>
  </si>
  <si>
    <t>Project Readiness Improvement Trust Fund</t>
  </si>
  <si>
    <t>Regional Malaria and other Communicable Disease Threats Trust Fund</t>
  </si>
  <si>
    <t xml:space="preserve">Urban Climate Change Resilience Trust Fund </t>
  </si>
  <si>
    <r>
      <t>MULTILATERALS</t>
    </r>
    <r>
      <rPr>
        <b/>
        <vertAlign val="superscript"/>
        <sz val="9"/>
        <rFont val="Arial"/>
        <family val="2"/>
      </rPr>
      <t>b</t>
    </r>
  </si>
  <si>
    <t>Innovating Eco-Compensation Mechanisms in Yangtze River Basin</t>
  </si>
  <si>
    <t>Scaling Up Demand-Side Energy Efficiency Sector (Supplementary)</t>
  </si>
  <si>
    <t>Water Supply and Sanitation Investment</t>
  </si>
  <si>
    <t>Accelerating Innovation in Transport (Supplementary)</t>
  </si>
  <si>
    <t>Global Road Safety Facility - Phase 3 Multi-Donor Trust Fund</t>
  </si>
  <si>
    <t>Least Developed Countries Fund for Climate Change under the Global Environment Facility</t>
  </si>
  <si>
    <t>Strategic Climate Fund</t>
  </si>
  <si>
    <r>
      <t>Accelerating the Clean Energy Transition in Southeast Asia</t>
    </r>
    <r>
      <rPr>
        <vertAlign val="superscript"/>
        <sz val="9"/>
        <color theme="1"/>
        <rFont val="Arial"/>
        <family val="2"/>
      </rPr>
      <t>c</t>
    </r>
  </si>
  <si>
    <t xml:space="preserve">United Nations Children's Fund </t>
  </si>
  <si>
    <t>Education Above All Foundation</t>
  </si>
  <si>
    <t>Integrated Social Protection Development Program</t>
  </si>
  <si>
    <t>JP Morgan Chase Foundation</t>
  </si>
  <si>
    <t>Promoting Innovative Financial Inclusion (Supplementary)</t>
  </si>
  <si>
    <t>Sustainable Infrastructure Assistance Program Phase II – 
   Supporting Sustainable and Efficient Energy Policies 
   and Investments (Subproject 2) (Supplementary)</t>
  </si>
  <si>
    <t>Sustainable Infrastructure Assistance Program Phase II – 
   Due Diligence for Road Projects in Kalimantan and 
   Capacity Development (Subproject 6) (Supplementary)</t>
  </si>
  <si>
    <t>France – Cooperation Fund for Project Preparation in the Greater Mekong Subregion and in Other Specific Asian Countries</t>
  </si>
  <si>
    <t>Japan – Asian Clean Energy Fund</t>
  </si>
  <si>
    <t>Supporting Public Sector Management Reforms 
   (Supplementary)</t>
  </si>
  <si>
    <t>Supporting the Implementation of ADB's Climate Change 
   Operational Framework 2017–2030 – Enhancing Financial 
   Mechanisms to Develop Climate Actions of Developing 
   Member Countries (Subproject 2)</t>
  </si>
  <si>
    <t>Support to the Implementation of Strategy 2030 
   Operational Plans (Supplementary)</t>
  </si>
  <si>
    <t>State-Owned Enterprises Reform Program – Subprogram 2</t>
  </si>
  <si>
    <t>Improving Pacific Public Financial Management Facility 
   (Supplementary)</t>
  </si>
  <si>
    <t>Implementation of Sustainable Transport for All (Supplementary)</t>
  </si>
  <si>
    <t>Sustainable and Resilient Energy Sector Facility in Bangladesh 
   (Supplementary)</t>
  </si>
  <si>
    <t>Assessing Impact of Digitalization on Business Resilience 
   and Consumer Welfare during COVID-19 Pandemic</t>
  </si>
  <si>
    <t>Green and Resilient Rural Recovery through Agri-Food System 
   Transformation in the Asia and Pacific Region</t>
  </si>
  <si>
    <t>Mitigating the Impact of COVID-19 through Community-Led 
   Interventions (Supplementary)</t>
  </si>
  <si>
    <t>Regional Support to Address the Outbreak of Coronavirus Disease 
   2019 and Potential Outbreaks of Other Communicable Diseases 
   (Supplementary)</t>
  </si>
  <si>
    <t>Agricultural Value Chain Infrastructure Improvement 
   (Supplementary)</t>
  </si>
  <si>
    <t>Preparing the Punjab Agriculture Markets Development Project 
   (Supplementary)</t>
  </si>
  <si>
    <t>Building Coastal Resilience through Nature-Based 
   and Integrated Solutions</t>
  </si>
  <si>
    <t>Demonstrating Innovative Employment Solutions through Regional 
   Knowledge-Sharing Partnerships with Youth Organizations 
   (Supplementary)</t>
  </si>
  <si>
    <t>Promoting Clean Energy Usage through Enhanced Adoption 
   of Electric Vehicles and Grid Integration of Battery Energy 
   Storage Systems</t>
  </si>
  <si>
    <t>Greater Mekong Subregion Health Security – Additional Financing</t>
  </si>
  <si>
    <t>Strengthening Universal Health Coverage in India: 
   Supporting the Implementation of Pradhan Mantri Jan Arogya 
   Yojana (Supplementary)</t>
  </si>
  <si>
    <t>Supporting the Development of Higher-Level Skills 
   and Entrepreneurship</t>
  </si>
  <si>
    <t>Combating Domestic Violence Against Women and Children – 
   Additional Financing</t>
  </si>
  <si>
    <t xml:space="preserve">Strengthening Rapid Epidemic Response Capacity 
   of Health Systems </t>
  </si>
  <si>
    <t>Prevention and Control of COVID-19 through WASH 
   and Health Initiatives in Secondary and Small Towns</t>
  </si>
  <si>
    <t>Health System Enhancement – Additional Financing</t>
  </si>
  <si>
    <t>Capacity Building Support to the Ministry of Transport 
   for Better Planning and Implementation</t>
  </si>
  <si>
    <t>Strengthening Institutional Capacity for Policy Formulation 
   and Implementation</t>
  </si>
  <si>
    <t>Development of New Statistical Resources and Building Capacity 
   in New Data Sources and Technologies</t>
  </si>
  <si>
    <t>Mainstreaming Water Resilience in Asia and the Pacific – 
   Improving Water Security and Resilience Through Digitalization 
   (Subproject 2)</t>
  </si>
  <si>
    <t>Southeast Asia Agriculture, Natural Resources and 
   Rural Development Facility – Phase II (Supplementary)</t>
  </si>
  <si>
    <t>Strengthening Regional Cooperation on Skills Development 
   Under the CAREC Program</t>
  </si>
  <si>
    <t>Using Frontier Technology and Big Data Analytics 
   for Smart Infrastructure Facility Planning and Monitoring</t>
  </si>
  <si>
    <t>Supporting the Establishment of National Standardized 
   Spatial Data Infrastructure</t>
  </si>
  <si>
    <t>Preparing Renewable Energy for Climate Resilience 
   (Supplementary)</t>
  </si>
  <si>
    <t>India Urban and Water Projects Support Facility 
   (Supplementary)</t>
  </si>
  <si>
    <t>Promoting Smart and Integrated Urban Planning for Livability 
   and Cultural Economy in Rajasthan</t>
  </si>
  <si>
    <t>Supporting the Completion of e-Procurement System Digitalization 
   (Phase 1)</t>
  </si>
  <si>
    <t>Supporting the Implementation of Education Sector Medium-Term 
   Development Plan</t>
  </si>
  <si>
    <t>Preparing the Micro, Small, and Medium-Sized Enterprises 
   Financial Access, Inclusivity, and Resilience Project</t>
  </si>
  <si>
    <t>Accelerating the Clean Energy Transition in Southeast Asia 
   (Supplementary)</t>
  </si>
  <si>
    <t>Digital Entrepreneurship in Asia for Economic Resilience 
   and Post-Pandemic Recovery</t>
  </si>
  <si>
    <t>Establishing a Regional Hub on Domestic Resource Mobilization 
   and International Tax Cooperation</t>
  </si>
  <si>
    <t>Implementing the Cities Development Initiative for Asia 
   (Supplementary)</t>
  </si>
  <si>
    <t>Innovation in Education Sector Development in Asia and the Pacific 
   (Supplementary)</t>
  </si>
  <si>
    <t>Mainstreaming Water Resilience in Asia and the Pacific – 
   Digitalization of Water Management for Improved Resilience 
   (Subproject 3)</t>
  </si>
  <si>
    <t>Mitigating the Impact of COVID-19 Through Community-Led 
   Interventions (Supplementary)</t>
  </si>
  <si>
    <t>Strengthening Human Resources and Leadership 
   for Education (Supplementary)</t>
  </si>
  <si>
    <t>Supporting Capital Market Development and Reform 
   in Developing Asia (Phase 1)</t>
  </si>
  <si>
    <t>Preparing the Climate and Disaster Resilient Small-Scale 
   Water Resources Management Project (Supplementary)</t>
  </si>
  <si>
    <t>Strengthening Capacity to Design and Implement Water 
   and Rural Infrastructure Facility (Supplementary)</t>
  </si>
  <si>
    <t>Sustainable Rural Infrastructure and Watershed Management 
   Sector Facility (Supplementary)</t>
  </si>
  <si>
    <t>Lao People's 
   Democratic 
   Republic</t>
  </si>
  <si>
    <t>Achieving Water Sector Priorities in Asia and the Pacific 
   under Strategy 2030 (Supplementary)</t>
  </si>
  <si>
    <t>Improving Infrastructure Sustainability Through Better 
   Asset Management</t>
  </si>
  <si>
    <t>Preparing Urban Development and Improvement Projects 
   (Supplementary)</t>
  </si>
  <si>
    <t>Support for Implementation of the Asia-Pacific Climate 
   Finance Fund (Supplementary)</t>
  </si>
  <si>
    <t>China, People’s 
   Republic of</t>
  </si>
  <si>
    <t>Supporting the Establishment of National Standardized Spatial 
   Data Infrastructure</t>
  </si>
  <si>
    <t>Financial Market Development Program (Subprogram 2) 
   (Supplementary)</t>
  </si>
  <si>
    <t>Strengthening Comprehensive Primary Health Care 
   in Urban Areas Program under Pradhan Mantri Atmanirbhar 
   Swasth Bharat Yojana (Supplementary)</t>
  </si>
  <si>
    <t>Knowledge Solutions and Institutional Strengthening 
   for Sustainable Development (Supplementary)</t>
  </si>
  <si>
    <t>Strengthening Cooperation on Disaster Risk Management 
   within the Association of Southeast Asian Nations</t>
  </si>
  <si>
    <t>Using Digital Technology to Improve National Health Insurance 
   in Asia and the Pacific (Supplementary)</t>
  </si>
  <si>
    <t>Regional Support to Address the Outbreak of Coronavirus 
   Disease 2019 and Potential Outbreaks of Other Communicable 
   Diseases (Supplementary)</t>
  </si>
  <si>
    <t>Urban Water Supply and Sanitation Sector – Additional Financing</t>
  </si>
  <si>
    <r>
      <t>Greater Mekong Subregion Climate Change and Environment 
   Sustainability Program (Supplementary)</t>
    </r>
    <r>
      <rPr>
        <vertAlign val="superscript"/>
        <sz val="9"/>
        <color theme="1"/>
        <rFont val="Arial"/>
        <family val="2"/>
      </rPr>
      <t>d</t>
    </r>
  </si>
  <si>
    <r>
      <t>Green and Resilient Rural Recovery Through Agri-Food System 
   Transformation in the Asia and Pacific Region</t>
    </r>
    <r>
      <rPr>
        <vertAlign val="superscript"/>
        <sz val="9"/>
        <color theme="1"/>
        <rFont val="Arial"/>
        <family val="2"/>
      </rPr>
      <t>d</t>
    </r>
  </si>
  <si>
    <t>Solomon Islands</t>
  </si>
  <si>
    <t>Integrated High Impact Innovation in Sustainable Energy 
   Technology – Energy System Analysis, Technology Road Maps, 
   and Feasibility Studies for Pilot Testing (Subproject 1) 
   (Supplementary)</t>
  </si>
  <si>
    <t>Preparing and Improving Capacities for Sustainable 
   Cross-Border Operations and Regional Public Goods</t>
  </si>
  <si>
    <t>Southeast Asia Agriculture, Natural Resources, 
   and Rural Development Facility (Supplementary)</t>
  </si>
  <si>
    <t>Viet Nam</t>
  </si>
  <si>
    <t>Strengthening Institutional Capacity for the Implementation 
   of the Master Plan on Socioeconomic Development 
   of the Ethnic Minorities and Mountainous Areas 2021–2030</t>
  </si>
  <si>
    <t>Southeast Asia Agriculture, Natural Resources, and Rural 
   Development Facility – Phase II (Supplementary)</t>
  </si>
  <si>
    <t>Southeast Asia Energy Sector Development, Investment Planning, 
   and Capacity Building Facility (Supplementary)</t>
  </si>
  <si>
    <t>Climate-Resilient Inclusive Infrastructure for Ethnic Minorities 
   Project I</t>
  </si>
  <si>
    <t xml:space="preserve">Green and Innovative Finance Initiative for Scaling Up 
   Southeast Asian Infrastructure (Supplementary) </t>
  </si>
  <si>
    <r>
      <t>Japan Fund for Poverty Reduction</t>
    </r>
    <r>
      <rPr>
        <b/>
        <vertAlign val="superscript"/>
        <sz val="9"/>
        <rFont val="Arial"/>
        <family val="2"/>
      </rPr>
      <t>a</t>
    </r>
  </si>
  <si>
    <t>Note: Numbers may not sum precisely because of rounding.</t>
  </si>
  <si>
    <r>
      <rPr>
        <vertAlign val="superscript"/>
        <sz val="8"/>
        <rFont val="Arial"/>
        <family val="2"/>
      </rPr>
      <t xml:space="preserve">b  </t>
    </r>
    <r>
      <rPr>
        <sz val="8"/>
        <rFont val="Arial"/>
        <family val="2"/>
      </rPr>
      <t>Includes project-specific cofinancing from multilateral organizations, including global funds.</t>
    </r>
  </si>
  <si>
    <r>
      <rPr>
        <vertAlign val="superscript"/>
        <sz val="8"/>
        <rFont val="Arial"/>
        <family val="2"/>
      </rPr>
      <t xml:space="preserve">c  </t>
    </r>
    <r>
      <rPr>
        <sz val="8"/>
        <rFont val="Arial"/>
        <family val="2"/>
      </rPr>
      <t>Under the Scaling Up Renewable Energy Program in Low-Income Countries.</t>
    </r>
  </si>
  <si>
    <r>
      <rPr>
        <vertAlign val="superscript"/>
        <sz val="8"/>
        <rFont val="Arial"/>
        <family val="2"/>
      </rPr>
      <t xml:space="preserve">d  </t>
    </r>
    <r>
      <rPr>
        <sz val="8"/>
        <rFont val="Arial"/>
        <family val="2"/>
      </rPr>
      <t>Under the Climate Investment Funds–Technical Assistance Facility (CIF-TAF).</t>
    </r>
  </si>
  <si>
    <r>
      <rPr>
        <vertAlign val="superscript"/>
        <sz val="8"/>
        <rFont val="Arial"/>
        <family val="2"/>
      </rPr>
      <t xml:space="preserve">a  </t>
    </r>
    <r>
      <rPr>
        <sz val="8"/>
        <rFont val="Arial"/>
        <family val="2"/>
      </rPr>
      <t>On 1 September 2021, the ADB Board of Directors approved the enhanced and renamed Japan Fund for Prosperous and Resilient Asia and 
   the Pacific to be operationalized on 1 January 2022.</t>
    </r>
  </si>
  <si>
    <t>Asia-Pacific Climate Finance Fund</t>
  </si>
  <si>
    <t>Timor-Leste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</si>
</sst>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sz val="9"/>
      <color rgb="FF007DB7"/>
      <name val="Arial"/>
      <family val="2"/>
    </font>
    <font>
      <sz val="9"/>
      <color rgb="FF007DB7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0"/>
      <color theme="1"/>
      <name val="Tahoma"/>
      <family val="2"/>
    </font>
    <font>
      <sz val="10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color rgb="FF0070C0"/>
      <name val="Arial"/>
      <family val="2"/>
    </font>
    <font>
      <b/>
      <vertAlign val="superscript"/>
      <sz val="9"/>
      <name val="Arial"/>
      <family val="2"/>
    </font>
    <font>
      <sz val="9"/>
      <color theme="1"/>
      <name val="Calibri"/>
      <family val="2"/>
      <scheme val="minor"/>
    </font>
    <font>
      <vertAlign val="superscript"/>
      <sz val="9"/>
      <color theme="1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8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1" fillId="0" borderId="0"/>
    <xf numFmtId="43" fontId="11" fillId="0" borderId="0" applyFont="0" applyFill="0" applyBorder="0" applyAlignment="0" applyProtection="0"/>
    <xf numFmtId="0" fontId="12" fillId="0" borderId="0">
      <alignment vertical="top"/>
    </xf>
    <xf numFmtId="0" fontId="12" fillId="0" borderId="0">
      <alignment vertical="top"/>
    </xf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</cellStyleXfs>
  <cellXfs count="55">
    <xf numFmtId="0" fontId="0" fillId="0" borderId="0" xfId="0"/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wrapText="1"/>
    </xf>
    <xf numFmtId="0" fontId="7" fillId="0" borderId="0" xfId="0" applyFont="1"/>
    <xf numFmtId="0" fontId="8" fillId="0" borderId="0" xfId="0" applyFont="1"/>
    <xf numFmtId="0" fontId="10" fillId="0" borderId="0" xfId="0" applyFont="1"/>
    <xf numFmtId="44" fontId="10" fillId="0" borderId="0" xfId="2" applyFont="1"/>
    <xf numFmtId="4" fontId="6" fillId="0" borderId="0" xfId="1" applyNumberFormat="1" applyFont="1"/>
    <xf numFmtId="4" fontId="6" fillId="0" borderId="0" xfId="0" applyNumberFormat="1" applyFont="1"/>
    <xf numFmtId="0" fontId="14" fillId="2" borderId="2" xfId="0" applyFont="1" applyFill="1" applyBorder="1" applyAlignment="1">
      <alignment vertical="top"/>
    </xf>
    <xf numFmtId="0" fontId="14" fillId="2" borderId="2" xfId="0" applyFont="1" applyFill="1" applyBorder="1" applyAlignment="1">
      <alignment vertical="top" wrapText="1"/>
    </xf>
    <xf numFmtId="43" fontId="14" fillId="2" borderId="0" xfId="1" applyFont="1" applyFill="1" applyBorder="1" applyAlignment="1">
      <alignment vertical="top"/>
    </xf>
    <xf numFmtId="44" fontId="10" fillId="0" borderId="0" xfId="2" applyFont="1" applyBorder="1"/>
    <xf numFmtId="0" fontId="6" fillId="0" borderId="0" xfId="0" applyFont="1" applyBorder="1"/>
    <xf numFmtId="0" fontId="5" fillId="2" borderId="0" xfId="0" applyFont="1" applyFill="1" applyAlignment="1">
      <alignment vertical="top"/>
    </xf>
    <xf numFmtId="0" fontId="6" fillId="2" borderId="0" xfId="0" applyFont="1" applyFill="1" applyAlignment="1">
      <alignment vertical="top"/>
    </xf>
    <xf numFmtId="0" fontId="6" fillId="2" borderId="0" xfId="0" applyFont="1" applyFill="1" applyAlignment="1">
      <alignment vertical="top" wrapText="1"/>
    </xf>
    <xf numFmtId="43" fontId="5" fillId="2" borderId="0" xfId="1" applyFont="1" applyFill="1" applyAlignment="1">
      <alignment vertical="top"/>
    </xf>
    <xf numFmtId="43" fontId="6" fillId="2" borderId="0" xfId="1" applyFont="1" applyFill="1" applyAlignment="1">
      <alignment vertical="top"/>
    </xf>
    <xf numFmtId="0" fontId="5" fillId="2" borderId="0" xfId="0" applyFont="1" applyFill="1" applyAlignment="1">
      <alignment horizontal="center" vertical="top" wrapText="1"/>
    </xf>
    <xf numFmtId="0" fontId="15" fillId="2" borderId="0" xfId="0" applyFont="1" applyFill="1" applyAlignment="1">
      <alignment vertical="top"/>
    </xf>
    <xf numFmtId="0" fontId="5" fillId="2" borderId="0" xfId="184" applyFont="1" applyFill="1" applyAlignment="1">
      <alignment vertical="top"/>
    </xf>
    <xf numFmtId="0" fontId="5" fillId="2" borderId="0" xfId="0" applyFont="1" applyFill="1" applyAlignment="1">
      <alignment vertical="top" wrapText="1"/>
    </xf>
    <xf numFmtId="43" fontId="5" fillId="2" borderId="0" xfId="1" applyFont="1" applyFill="1" applyBorder="1" applyAlignment="1">
      <alignment vertical="top"/>
    </xf>
    <xf numFmtId="43" fontId="5" fillId="2" borderId="2" xfId="1" applyFont="1" applyFill="1" applyBorder="1" applyAlignment="1">
      <alignment vertical="top"/>
    </xf>
    <xf numFmtId="0" fontId="9" fillId="0" borderId="2" xfId="2" applyNumberFormat="1" applyFont="1" applyBorder="1" applyAlignment="1">
      <alignment horizontal="center" wrapText="1"/>
    </xf>
    <xf numFmtId="0" fontId="17" fillId="2" borderId="0" xfId="0" applyFont="1" applyFill="1" applyAlignment="1">
      <alignment vertical="top"/>
    </xf>
    <xf numFmtId="0" fontId="14" fillId="2" borderId="0" xfId="0" applyFont="1" applyFill="1" applyAlignment="1">
      <alignment vertical="top" wrapText="1"/>
    </xf>
    <xf numFmtId="43" fontId="14" fillId="2" borderId="0" xfId="1" applyFont="1" applyFill="1" applyAlignment="1">
      <alignment vertical="top"/>
    </xf>
    <xf numFmtId="0" fontId="14" fillId="2" borderId="0" xfId="0" applyFont="1" applyFill="1" applyAlignment="1">
      <alignment vertical="top"/>
    </xf>
    <xf numFmtId="43" fontId="14" fillId="2" borderId="2" xfId="1" applyFont="1" applyFill="1" applyBorder="1" applyAlignment="1">
      <alignment vertical="top"/>
    </xf>
    <xf numFmtId="0" fontId="17" fillId="2" borderId="0" xfId="0" applyFont="1" applyFill="1" applyAlignment="1">
      <alignment vertical="top" wrapText="1"/>
    </xf>
    <xf numFmtId="43" fontId="17" fillId="2" borderId="0" xfId="1" applyFont="1" applyFill="1" applyAlignment="1">
      <alignment vertical="top"/>
    </xf>
    <xf numFmtId="0" fontId="14" fillId="2" borderId="0" xfId="0" applyFont="1" applyFill="1" applyAlignment="1">
      <alignment horizontal="left" vertical="top" wrapText="1"/>
    </xf>
    <xf numFmtId="43" fontId="14" fillId="2" borderId="0" xfId="0" applyNumberFormat="1" applyFont="1" applyFill="1" applyAlignment="1">
      <alignment vertical="top"/>
    </xf>
    <xf numFmtId="43" fontId="17" fillId="2" borderId="0" xfId="1" applyFont="1" applyFill="1" applyBorder="1" applyAlignment="1">
      <alignment vertical="top"/>
    </xf>
    <xf numFmtId="43" fontId="17" fillId="2" borderId="0" xfId="0" applyNumberFormat="1" applyFont="1" applyFill="1" applyAlignment="1">
      <alignment vertical="top"/>
    </xf>
    <xf numFmtId="0" fontId="14" fillId="2" borderId="0" xfId="184" applyFont="1" applyFill="1" applyAlignment="1">
      <alignment vertical="top"/>
    </xf>
    <xf numFmtId="0" fontId="14" fillId="2" borderId="0" xfId="184" applyFont="1" applyFill="1" applyAlignment="1">
      <alignment vertical="top" wrapText="1"/>
    </xf>
    <xf numFmtId="0" fontId="14" fillId="0" borderId="0" xfId="0" applyFont="1" applyAlignment="1">
      <alignment horizontal="left" vertical="top" wrapText="1"/>
    </xf>
    <xf numFmtId="43" fontId="13" fillId="2" borderId="2" xfId="1" applyFont="1" applyFill="1" applyBorder="1" applyAlignment="1">
      <alignment vertical="top"/>
    </xf>
    <xf numFmtId="0" fontId="5" fillId="2" borderId="2" xfId="0" applyFont="1" applyFill="1" applyBorder="1" applyAlignment="1">
      <alignment vertical="top"/>
    </xf>
    <xf numFmtId="0" fontId="14" fillId="2" borderId="0" xfId="184" applyFont="1" applyFill="1" applyAlignment="1">
      <alignment horizontal="left" vertical="top" wrapText="1"/>
    </xf>
    <xf numFmtId="0" fontId="19" fillId="2" borderId="0" xfId="0" applyFont="1" applyFill="1" applyAlignment="1">
      <alignment vertical="center"/>
    </xf>
    <xf numFmtId="0" fontId="19" fillId="0" borderId="0" xfId="0" applyFont="1" applyAlignment="1">
      <alignment vertical="center"/>
    </xf>
    <xf numFmtId="0" fontId="19" fillId="0" borderId="0" xfId="0" applyFont="1" applyAlignment="1">
      <alignment vertical="center" wrapText="1"/>
    </xf>
    <xf numFmtId="4" fontId="19" fillId="0" borderId="0" xfId="1" applyNumberFormat="1" applyFont="1" applyAlignment="1">
      <alignment vertical="center"/>
    </xf>
    <xf numFmtId="4" fontId="19" fillId="0" borderId="0" xfId="0" applyNumberFormat="1" applyFont="1" applyAlignment="1">
      <alignment vertical="center"/>
    </xf>
    <xf numFmtId="44" fontId="9" fillId="0" borderId="1" xfId="2" applyFont="1" applyBorder="1" applyAlignment="1">
      <alignment horizontal="center" wrapText="1"/>
    </xf>
    <xf numFmtId="44" fontId="9" fillId="0" borderId="3" xfId="2" applyFont="1" applyBorder="1" applyAlignment="1">
      <alignment horizontal="center" wrapText="1"/>
    </xf>
    <xf numFmtId="0" fontId="9" fillId="0" borderId="2" xfId="0" applyFont="1" applyBorder="1" applyAlignment="1">
      <alignment horizontal="center"/>
    </xf>
    <xf numFmtId="0" fontId="9" fillId="0" borderId="1" xfId="2" applyNumberFormat="1" applyFont="1" applyBorder="1" applyAlignment="1">
      <alignment horizontal="left" wrapText="1"/>
    </xf>
    <xf numFmtId="0" fontId="9" fillId="0" borderId="3" xfId="2" applyNumberFormat="1" applyFont="1" applyBorder="1" applyAlignment="1">
      <alignment horizontal="left" wrapText="1"/>
    </xf>
    <xf numFmtId="0" fontId="19" fillId="2" borderId="0" xfId="0" applyFont="1" applyFill="1" applyAlignment="1">
      <alignment horizontal="left" vertical="center" wrapText="1"/>
    </xf>
  </cellXfs>
  <cellStyles count="186">
    <cellStyle name="Comma" xfId="1" builtinId="3"/>
    <cellStyle name="Comma 3" xfId="180"/>
    <cellStyle name="Comma 5" xfId="183"/>
    <cellStyle name="Currency" xfId="2" builtinId="4"/>
    <cellStyle name="Currency 3" xfId="185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Normal" xfId="0" builtinId="0"/>
    <cellStyle name="Normal 2" xfId="182"/>
    <cellStyle name="Normal 3" xfId="179"/>
    <cellStyle name="Normal 3 4" xfId="184"/>
    <cellStyle name="Normal 4" xfId="181"/>
  </cellStyles>
  <dxfs count="0"/>
  <tableStyles count="0" defaultTableStyle="TableStyleMedium9" defaultPivotStyle="PivotStyleLight16"/>
  <colors>
    <mruColors>
      <color rgb="FF00A7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289074</xdr:colOff>
      <xdr:row>0</xdr:row>
      <xdr:rowOff>28021</xdr:rowOff>
    </xdr:from>
    <xdr:to>
      <xdr:col>3</xdr:col>
      <xdr:colOff>64533</xdr:colOff>
      <xdr:row>5</xdr:row>
      <xdr:rowOff>40317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/>
      </xdr:nvSpPr>
      <xdr:spPr>
        <a:xfrm>
          <a:off x="541058" y="28021"/>
          <a:ext cx="4452285" cy="717852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none" lIns="0" tIns="0" rIns="0" bIns="0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ANNUAL REPORT 2021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900" b="0" i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https://www.adb.org/documents/adb-annual-report-2021</a:t>
          </a:r>
          <a:endParaRPr kumimoji="0" lang="fi-FI" sz="9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itchFamily="34" charset="0"/>
            <a:ea typeface="+mn-ea"/>
            <a:cs typeface="Arial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itchFamily="34" charset="0"/>
            <a:ea typeface="+mn-ea"/>
            <a:cs typeface="Arial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600" b="0" i="1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Keywords: cofinancing, commercial cofinancing, private sector, nonsovereign</a:t>
          </a:r>
        </a:p>
      </xdr:txBody>
    </xdr:sp>
    <xdr:clientData/>
  </xdr:twoCellAnchor>
  <xdr:twoCellAnchor editAs="oneCell">
    <xdr:from>
      <xdr:col>0</xdr:col>
      <xdr:colOff>29061</xdr:colOff>
      <xdr:row>0</xdr:row>
      <xdr:rowOff>54893</xdr:rowOff>
    </xdr:from>
    <xdr:to>
      <xdr:col>1</xdr:col>
      <xdr:colOff>195321</xdr:colOff>
      <xdr:row>3</xdr:row>
      <xdr:rowOff>113598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061" y="54893"/>
          <a:ext cx="385819" cy="513968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Sittie Moreina M. Olalia" id="{7E2A1B81-D5D3-4431-AB2F-A6A80D800BE3}" userId="S::solalia@adb.org::b42e7221-8e9b-420c-8089-885f8ecddf2d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4:F267"/>
  <sheetViews>
    <sheetView tabSelected="1" topLeftCell="A26" zoomScale="145" zoomScaleNormal="145" zoomScalePageLayoutView="126" workbookViewId="0">
      <selection activeCell="B40" sqref="B40"/>
    </sheetView>
  </sheetViews>
  <sheetFormatPr defaultColWidth="8.85546875" defaultRowHeight="12" x14ac:dyDescent="0.2"/>
  <cols>
    <col min="1" max="1" width="3.28515625" style="2" customWidth="1"/>
    <col min="2" max="2" width="15.85546875" style="3" customWidth="1"/>
    <col min="3" max="3" width="49.7109375" style="3" customWidth="1"/>
    <col min="4" max="4" width="12.28515625" style="8" customWidth="1"/>
    <col min="5" max="5" width="1.85546875" style="9" customWidth="1"/>
    <col min="6" max="6" width="12.28515625" style="9" customWidth="1"/>
    <col min="7" max="16384" width="8.85546875" style="2"/>
  </cols>
  <sheetData>
    <row r="4" spans="1:6" x14ac:dyDescent="0.2">
      <c r="A4" s="1"/>
    </row>
    <row r="5" spans="1:6" x14ac:dyDescent="0.2">
      <c r="A5" s="1"/>
    </row>
    <row r="6" spans="1:6" x14ac:dyDescent="0.2">
      <c r="A6" s="1"/>
    </row>
    <row r="7" spans="1:6" x14ac:dyDescent="0.2">
      <c r="A7" s="4" t="s">
        <v>50</v>
      </c>
    </row>
    <row r="8" spans="1:6" x14ac:dyDescent="0.2">
      <c r="A8" s="5" t="s">
        <v>22</v>
      </c>
    </row>
    <row r="9" spans="1:6" s="6" customFormat="1" x14ac:dyDescent="0.2">
      <c r="A9" s="52" t="s">
        <v>14</v>
      </c>
      <c r="B9" s="52"/>
      <c r="C9" s="49" t="s">
        <v>0</v>
      </c>
      <c r="D9" s="51" t="s">
        <v>18</v>
      </c>
      <c r="E9" s="51"/>
      <c r="F9" s="51"/>
    </row>
    <row r="10" spans="1:6" s="7" customFormat="1" ht="24" x14ac:dyDescent="0.2">
      <c r="A10" s="53"/>
      <c r="B10" s="53"/>
      <c r="C10" s="50"/>
      <c r="D10" s="26" t="s">
        <v>15</v>
      </c>
      <c r="E10" s="26"/>
      <c r="F10" s="26" t="s">
        <v>16</v>
      </c>
    </row>
    <row r="11" spans="1:6" s="13" customFormat="1" x14ac:dyDescent="0.2">
      <c r="A11" s="15" t="s">
        <v>36</v>
      </c>
      <c r="B11" s="16"/>
      <c r="C11" s="17"/>
      <c r="D11" s="18">
        <f>D19+D24+D28+D32+D36+D45+D54+D58+D62</f>
        <v>11552.781999999999</v>
      </c>
      <c r="E11" s="18"/>
      <c r="F11" s="18">
        <f>F19+F41+F54</f>
        <v>118352.969</v>
      </c>
    </row>
    <row r="12" spans="1:6" s="14" customFormat="1" x14ac:dyDescent="0.2">
      <c r="A12" s="15" t="s">
        <v>2</v>
      </c>
      <c r="B12" s="16"/>
      <c r="C12" s="17"/>
      <c r="D12" s="19"/>
      <c r="E12" s="16"/>
      <c r="F12" s="19"/>
    </row>
    <row r="13" spans="1:6" s="14" customFormat="1" ht="36" x14ac:dyDescent="0.2">
      <c r="A13" s="15"/>
      <c r="B13" s="17" t="s">
        <v>7</v>
      </c>
      <c r="C13" s="17" t="s">
        <v>115</v>
      </c>
      <c r="D13" s="19">
        <f>2*1000</f>
        <v>2000</v>
      </c>
      <c r="E13" s="16"/>
      <c r="F13" s="19"/>
    </row>
    <row r="14" spans="1:6" s="14" customFormat="1" ht="36" x14ac:dyDescent="0.2">
      <c r="A14" s="15"/>
      <c r="B14" s="16" t="s">
        <v>7</v>
      </c>
      <c r="C14" s="17" t="s">
        <v>116</v>
      </c>
      <c r="D14" s="19">
        <f>0.5*1000</f>
        <v>500</v>
      </c>
      <c r="E14" s="16"/>
      <c r="F14" s="19"/>
    </row>
    <row r="15" spans="1:6" s="14" customFormat="1" x14ac:dyDescent="0.2">
      <c r="A15" s="16"/>
      <c r="B15" s="17" t="s">
        <v>184</v>
      </c>
      <c r="C15" s="17" t="s">
        <v>52</v>
      </c>
      <c r="D15" s="19"/>
      <c r="E15" s="16"/>
      <c r="F15" s="19">
        <f>3.5*1000</f>
        <v>3500</v>
      </c>
    </row>
    <row r="16" spans="1:6" s="14" customFormat="1" x14ac:dyDescent="0.2">
      <c r="A16" s="27"/>
      <c r="B16" s="17" t="s">
        <v>12</v>
      </c>
      <c r="C16" s="28" t="s">
        <v>53</v>
      </c>
      <c r="D16" s="29"/>
      <c r="E16" s="30"/>
      <c r="F16" s="29">
        <f>10.8*1000</f>
        <v>10800</v>
      </c>
    </row>
    <row r="17" spans="1:6" s="14" customFormat="1" ht="24" x14ac:dyDescent="0.2">
      <c r="A17" s="27"/>
      <c r="B17" s="17" t="s">
        <v>13</v>
      </c>
      <c r="C17" s="28" t="s">
        <v>46</v>
      </c>
      <c r="D17" s="29">
        <f>0.72683*1000</f>
        <v>726.82999999999993</v>
      </c>
      <c r="E17" s="30"/>
      <c r="F17" s="29"/>
    </row>
    <row r="18" spans="1:6" s="14" customFormat="1" ht="24" x14ac:dyDescent="0.2">
      <c r="A18" s="27"/>
      <c r="B18" s="17" t="s">
        <v>13</v>
      </c>
      <c r="C18" s="28" t="s">
        <v>119</v>
      </c>
      <c r="D18" s="19">
        <f>0.39*1000</f>
        <v>390</v>
      </c>
      <c r="E18" s="30"/>
      <c r="F18" s="29"/>
    </row>
    <row r="19" spans="1:6" s="14" customFormat="1" x14ac:dyDescent="0.2">
      <c r="A19" s="27"/>
      <c r="B19" s="28"/>
      <c r="C19" s="20" t="s">
        <v>23</v>
      </c>
      <c r="D19" s="31">
        <f>SUM(D13:D18)</f>
        <v>3616.83</v>
      </c>
      <c r="E19" s="12">
        <f>SUM(E13:E18)</f>
        <v>0</v>
      </c>
      <c r="F19" s="31">
        <f>SUM(F13:F18)</f>
        <v>14300</v>
      </c>
    </row>
    <row r="20" spans="1:6" s="14" customFormat="1" x14ac:dyDescent="0.2">
      <c r="A20" s="27"/>
      <c r="B20" s="32"/>
      <c r="C20" s="20"/>
      <c r="D20" s="33"/>
      <c r="E20" s="27"/>
      <c r="F20" s="33"/>
    </row>
    <row r="21" spans="1:6" s="14" customFormat="1" x14ac:dyDescent="0.2">
      <c r="A21" s="15" t="s">
        <v>37</v>
      </c>
      <c r="B21" s="32"/>
      <c r="C21" s="20"/>
      <c r="D21" s="33"/>
      <c r="E21" s="27"/>
      <c r="F21" s="33"/>
    </row>
    <row r="22" spans="1:6" s="14" customFormat="1" ht="24" x14ac:dyDescent="0.2">
      <c r="A22" s="15"/>
      <c r="B22" s="28" t="s">
        <v>13</v>
      </c>
      <c r="C22" s="34" t="s">
        <v>47</v>
      </c>
      <c r="D22" s="29">
        <f>0.103192*1000</f>
        <v>103.19200000000001</v>
      </c>
      <c r="E22" s="30"/>
      <c r="F22" s="29"/>
    </row>
    <row r="23" spans="1:6" s="14" customFormat="1" ht="48" x14ac:dyDescent="0.2">
      <c r="A23" s="15"/>
      <c r="B23" s="28" t="s">
        <v>13</v>
      </c>
      <c r="C23" s="34" t="s">
        <v>120</v>
      </c>
      <c r="D23" s="29">
        <f>1.1199*1000</f>
        <v>1119.8999999999999</v>
      </c>
      <c r="E23" s="30"/>
      <c r="F23" s="29"/>
    </row>
    <row r="24" spans="1:6" s="14" customFormat="1" x14ac:dyDescent="0.2">
      <c r="A24" s="15"/>
      <c r="B24" s="28"/>
      <c r="C24" s="20" t="s">
        <v>23</v>
      </c>
      <c r="D24" s="31">
        <f>SUM(D22:D23)</f>
        <v>1223.0919999999999</v>
      </c>
      <c r="E24" s="30"/>
      <c r="F24" s="35"/>
    </row>
    <row r="25" spans="1:6" s="14" customFormat="1" x14ac:dyDescent="0.2">
      <c r="A25" s="15"/>
      <c r="B25" s="32"/>
      <c r="C25" s="20"/>
      <c r="D25" s="36"/>
      <c r="E25" s="27"/>
      <c r="F25" s="37"/>
    </row>
    <row r="26" spans="1:6" s="14" customFormat="1" x14ac:dyDescent="0.2">
      <c r="A26" s="15" t="s">
        <v>54</v>
      </c>
      <c r="B26" s="28"/>
      <c r="C26" s="34"/>
      <c r="D26" s="29"/>
      <c r="E26" s="30"/>
      <c r="F26" s="29"/>
    </row>
    <row r="27" spans="1:6" s="14" customFormat="1" ht="24" x14ac:dyDescent="0.2">
      <c r="A27" s="15"/>
      <c r="B27" s="28" t="s">
        <v>13</v>
      </c>
      <c r="C27" s="34" t="s">
        <v>178</v>
      </c>
      <c r="D27" s="29">
        <f>0.3*1000</f>
        <v>300</v>
      </c>
      <c r="E27" s="30"/>
      <c r="F27" s="29"/>
    </row>
    <row r="28" spans="1:6" s="14" customFormat="1" x14ac:dyDescent="0.2">
      <c r="A28" s="27"/>
      <c r="B28" s="28"/>
      <c r="C28" s="20" t="s">
        <v>23</v>
      </c>
      <c r="D28" s="31">
        <f>SUM(D27)</f>
        <v>300</v>
      </c>
      <c r="E28" s="30"/>
      <c r="F28" s="35"/>
    </row>
    <row r="29" spans="1:6" s="14" customFormat="1" x14ac:dyDescent="0.2">
      <c r="A29" s="27"/>
      <c r="B29" s="28"/>
      <c r="C29" s="20"/>
      <c r="D29" s="12"/>
      <c r="E29" s="30"/>
      <c r="F29" s="35"/>
    </row>
    <row r="30" spans="1:6" s="14" customFormat="1" x14ac:dyDescent="0.2">
      <c r="A30" s="15" t="s">
        <v>55</v>
      </c>
      <c r="B30" s="28"/>
      <c r="C30" s="34"/>
      <c r="D30" s="29"/>
      <c r="E30" s="30"/>
      <c r="F30" s="29"/>
    </row>
    <row r="31" spans="1:6" s="14" customFormat="1" ht="24" x14ac:dyDescent="0.2">
      <c r="A31" s="15"/>
      <c r="B31" s="28" t="s">
        <v>13</v>
      </c>
      <c r="C31" s="34" t="s">
        <v>193</v>
      </c>
      <c r="D31" s="29">
        <f>0.4628*1000</f>
        <v>462.8</v>
      </c>
      <c r="E31" s="30"/>
      <c r="F31" s="29"/>
    </row>
    <row r="32" spans="1:6" s="14" customFormat="1" x14ac:dyDescent="0.2">
      <c r="A32" s="27"/>
      <c r="B32" s="28"/>
      <c r="C32" s="20" t="s">
        <v>23</v>
      </c>
      <c r="D32" s="31">
        <f>SUM(D31)</f>
        <v>462.8</v>
      </c>
      <c r="E32" s="30"/>
      <c r="F32" s="35"/>
    </row>
    <row r="33" spans="1:6" s="14" customFormat="1" x14ac:dyDescent="0.2">
      <c r="A33" s="27"/>
      <c r="B33" s="28"/>
      <c r="C33" s="20"/>
      <c r="D33" s="12"/>
      <c r="E33" s="30"/>
      <c r="F33" s="35"/>
    </row>
    <row r="34" spans="1:6" s="14" customFormat="1" x14ac:dyDescent="0.2">
      <c r="A34" s="15" t="s">
        <v>27</v>
      </c>
      <c r="B34" s="28"/>
      <c r="C34" s="20"/>
      <c r="D34" s="29"/>
      <c r="E34" s="30"/>
      <c r="F34" s="29"/>
    </row>
    <row r="35" spans="1:6" s="14" customFormat="1" ht="24" x14ac:dyDescent="0.2">
      <c r="A35" s="27"/>
      <c r="B35" s="28" t="s">
        <v>13</v>
      </c>
      <c r="C35" s="34" t="s">
        <v>121</v>
      </c>
      <c r="D35" s="29">
        <f>1.982403*1000</f>
        <v>1982.403</v>
      </c>
      <c r="E35" s="30"/>
      <c r="F35" s="29"/>
    </row>
    <row r="36" spans="1:6" s="14" customFormat="1" x14ac:dyDescent="0.2">
      <c r="A36" s="27"/>
      <c r="B36" s="28"/>
      <c r="C36" s="20" t="s">
        <v>23</v>
      </c>
      <c r="D36" s="31">
        <f>SUM(D35:D35)</f>
        <v>1982.403</v>
      </c>
      <c r="E36" s="30"/>
      <c r="F36" s="12"/>
    </row>
    <row r="37" spans="1:6" s="14" customFormat="1" x14ac:dyDescent="0.2">
      <c r="A37" s="27"/>
      <c r="B37" s="28"/>
      <c r="C37" s="34"/>
      <c r="D37" s="29"/>
      <c r="E37" s="30"/>
      <c r="F37" s="29"/>
    </row>
    <row r="38" spans="1:6" s="14" customFormat="1" x14ac:dyDescent="0.2">
      <c r="A38" s="15" t="s">
        <v>56</v>
      </c>
      <c r="B38" s="28"/>
      <c r="C38" s="20"/>
      <c r="D38" s="29"/>
      <c r="E38" s="30"/>
      <c r="F38" s="29"/>
    </row>
    <row r="39" spans="1:6" s="14" customFormat="1" x14ac:dyDescent="0.2">
      <c r="A39" s="27"/>
      <c r="B39" s="28" t="s">
        <v>3</v>
      </c>
      <c r="C39" s="34" t="s">
        <v>57</v>
      </c>
      <c r="D39" s="29"/>
      <c r="E39" s="30"/>
      <c r="F39" s="29">
        <f>23.752969*1000</f>
        <v>23752.969000000001</v>
      </c>
    </row>
    <row r="40" spans="1:6" s="14" customFormat="1" x14ac:dyDescent="0.2">
      <c r="A40" s="27"/>
      <c r="B40" s="28" t="s">
        <v>201</v>
      </c>
      <c r="C40" s="34" t="s">
        <v>58</v>
      </c>
      <c r="D40" s="29"/>
      <c r="E40" s="30"/>
      <c r="F40" s="29">
        <f>44*1000</f>
        <v>44000</v>
      </c>
    </row>
    <row r="41" spans="1:6" s="14" customFormat="1" x14ac:dyDescent="0.2">
      <c r="A41" s="27"/>
      <c r="B41" s="28"/>
      <c r="C41" s="20" t="s">
        <v>23</v>
      </c>
      <c r="D41" s="35"/>
      <c r="E41" s="30"/>
      <c r="F41" s="31">
        <f>SUM(F39:F40)</f>
        <v>67752.968999999997</v>
      </c>
    </row>
    <row r="42" spans="1:6" s="14" customFormat="1" x14ac:dyDescent="0.2">
      <c r="A42" s="27"/>
      <c r="B42" s="28"/>
      <c r="C42" s="34"/>
      <c r="D42" s="29"/>
      <c r="E42" s="30"/>
      <c r="F42" s="29"/>
    </row>
    <row r="43" spans="1:6" s="14" customFormat="1" x14ac:dyDescent="0.2">
      <c r="A43" s="15" t="s">
        <v>28</v>
      </c>
      <c r="B43" s="32"/>
      <c r="C43" s="20"/>
      <c r="D43" s="33"/>
      <c r="E43" s="27"/>
      <c r="F43" s="33"/>
    </row>
    <row r="44" spans="1:6" s="14" customFormat="1" ht="48" customHeight="1" x14ac:dyDescent="0.2">
      <c r="A44" s="30"/>
      <c r="B44" s="28" t="s">
        <v>13</v>
      </c>
      <c r="C44" s="34" t="s">
        <v>185</v>
      </c>
      <c r="D44" s="29">
        <f>0.1*1000</f>
        <v>100</v>
      </c>
      <c r="E44" s="30"/>
      <c r="F44" s="29"/>
    </row>
    <row r="45" spans="1:6" s="14" customFormat="1" x14ac:dyDescent="0.2">
      <c r="A45" s="30"/>
      <c r="B45" s="28"/>
      <c r="C45" s="20" t="s">
        <v>23</v>
      </c>
      <c r="D45" s="31">
        <f>SUM(D44:D44)</f>
        <v>100</v>
      </c>
      <c r="E45" s="30"/>
      <c r="F45" s="12"/>
    </row>
    <row r="46" spans="1:6" s="14" customFormat="1" x14ac:dyDescent="0.2">
      <c r="A46" s="30"/>
      <c r="B46" s="28"/>
      <c r="C46" s="20"/>
      <c r="D46" s="29"/>
      <c r="E46" s="30"/>
      <c r="F46" s="29"/>
    </row>
    <row r="47" spans="1:6" s="14" customFormat="1" x14ac:dyDescent="0.2">
      <c r="A47" s="15" t="s">
        <v>1</v>
      </c>
      <c r="B47" s="30"/>
      <c r="C47" s="28"/>
      <c r="D47" s="29"/>
      <c r="E47" s="30"/>
      <c r="F47" s="29"/>
    </row>
    <row r="48" spans="1:6" s="14" customFormat="1" x14ac:dyDescent="0.2">
      <c r="A48" s="15"/>
      <c r="B48" s="30" t="s">
        <v>38</v>
      </c>
      <c r="C48" s="28" t="s">
        <v>59</v>
      </c>
      <c r="D48" s="29"/>
      <c r="E48" s="30"/>
      <c r="F48" s="29">
        <f>21.2*1000</f>
        <v>21200</v>
      </c>
    </row>
    <row r="49" spans="1:6" s="14" customFormat="1" x14ac:dyDescent="0.2">
      <c r="A49" s="15"/>
      <c r="B49" s="30" t="s">
        <v>26</v>
      </c>
      <c r="C49" s="28" t="s">
        <v>122</v>
      </c>
      <c r="D49" s="29"/>
      <c r="E49" s="30"/>
      <c r="F49" s="29">
        <f>1*1000</f>
        <v>1000</v>
      </c>
    </row>
    <row r="50" spans="1:6" s="14" customFormat="1" x14ac:dyDescent="0.2">
      <c r="A50" s="15"/>
      <c r="B50" s="30" t="s">
        <v>184</v>
      </c>
      <c r="C50" s="28" t="s">
        <v>52</v>
      </c>
      <c r="D50" s="29"/>
      <c r="E50" s="30"/>
      <c r="F50" s="29">
        <f>6.5*1000</f>
        <v>6500</v>
      </c>
    </row>
    <row r="51" spans="1:6" s="14" customFormat="1" x14ac:dyDescent="0.2">
      <c r="A51" s="15"/>
      <c r="B51" s="30" t="s">
        <v>12</v>
      </c>
      <c r="C51" s="28" t="s">
        <v>53</v>
      </c>
      <c r="D51" s="29"/>
      <c r="E51" s="30"/>
      <c r="F51" s="29">
        <f>7.6*1000</f>
        <v>7600</v>
      </c>
    </row>
    <row r="52" spans="1:6" s="14" customFormat="1" ht="24" x14ac:dyDescent="0.2">
      <c r="A52" s="15"/>
      <c r="B52" s="30" t="s">
        <v>13</v>
      </c>
      <c r="C52" s="28" t="s">
        <v>123</v>
      </c>
      <c r="D52" s="29">
        <f>0.36*1000</f>
        <v>360</v>
      </c>
      <c r="E52" s="30"/>
      <c r="F52" s="29"/>
    </row>
    <row r="53" spans="1:6" s="14" customFormat="1" ht="12" customHeight="1" x14ac:dyDescent="0.2">
      <c r="A53" s="15"/>
      <c r="B53" s="30" t="s">
        <v>13</v>
      </c>
      <c r="C53" s="28" t="s">
        <v>60</v>
      </c>
      <c r="D53" s="29">
        <f>2.354281*1000</f>
        <v>2354.2809999999999</v>
      </c>
      <c r="E53" s="30"/>
      <c r="F53" s="29"/>
    </row>
    <row r="54" spans="1:6" s="14" customFormat="1" x14ac:dyDescent="0.2">
      <c r="A54" s="30"/>
      <c r="B54" s="28"/>
      <c r="C54" s="20" t="s">
        <v>23</v>
      </c>
      <c r="D54" s="31">
        <f>SUM(D48:D53)</f>
        <v>2714.2809999999999</v>
      </c>
      <c r="E54" s="30"/>
      <c r="F54" s="31">
        <f>SUM(F48:F53)</f>
        <v>36300</v>
      </c>
    </row>
    <row r="55" spans="1:6" s="14" customFormat="1" x14ac:dyDescent="0.2">
      <c r="A55" s="30"/>
      <c r="B55" s="28"/>
      <c r="C55" s="20"/>
      <c r="D55" s="29"/>
      <c r="E55" s="30"/>
      <c r="F55" s="29"/>
    </row>
    <row r="56" spans="1:6" s="14" customFormat="1" x14ac:dyDescent="0.2">
      <c r="A56" s="15" t="s">
        <v>61</v>
      </c>
      <c r="B56" s="30"/>
      <c r="C56" s="28"/>
      <c r="D56" s="29"/>
      <c r="E56" s="30"/>
      <c r="F56" s="29"/>
    </row>
    <row r="57" spans="1:6" s="14" customFormat="1" ht="12" customHeight="1" x14ac:dyDescent="0.2">
      <c r="A57" s="30"/>
      <c r="B57" s="30" t="s">
        <v>13</v>
      </c>
      <c r="C57" s="28" t="s">
        <v>124</v>
      </c>
      <c r="D57" s="29">
        <f>1.10278*1000</f>
        <v>1102.7800000000002</v>
      </c>
      <c r="E57" s="30"/>
      <c r="F57" s="29"/>
    </row>
    <row r="58" spans="1:6" s="14" customFormat="1" x14ac:dyDescent="0.2">
      <c r="A58" s="30"/>
      <c r="B58" s="28"/>
      <c r="C58" s="20" t="s">
        <v>23</v>
      </c>
      <c r="D58" s="31">
        <f>SUM(D57)</f>
        <v>1102.7800000000002</v>
      </c>
      <c r="E58" s="30"/>
      <c r="F58" s="35"/>
    </row>
    <row r="59" spans="1:6" s="14" customFormat="1" x14ac:dyDescent="0.2">
      <c r="A59" s="30"/>
      <c r="B59" s="30"/>
      <c r="C59" s="28"/>
      <c r="D59" s="29"/>
      <c r="E59" s="30"/>
      <c r="F59" s="29"/>
    </row>
    <row r="60" spans="1:6" s="14" customFormat="1" x14ac:dyDescent="0.2">
      <c r="A60" s="15" t="s">
        <v>21</v>
      </c>
      <c r="B60" s="28"/>
      <c r="C60" s="20"/>
      <c r="D60" s="29"/>
      <c r="E60" s="30"/>
      <c r="F60" s="29"/>
    </row>
    <row r="61" spans="1:6" s="14" customFormat="1" ht="48" customHeight="1" x14ac:dyDescent="0.2">
      <c r="A61" s="15"/>
      <c r="B61" s="28" t="s">
        <v>13</v>
      </c>
      <c r="C61" s="34" t="s">
        <v>185</v>
      </c>
      <c r="D61" s="29">
        <f>0.050596*1000</f>
        <v>50.596000000000004</v>
      </c>
      <c r="E61" s="30"/>
      <c r="F61" s="29"/>
    </row>
    <row r="62" spans="1:6" s="14" customFormat="1" x14ac:dyDescent="0.2">
      <c r="A62" s="30"/>
      <c r="B62" s="28"/>
      <c r="C62" s="20" t="s">
        <v>23</v>
      </c>
      <c r="D62" s="31">
        <f>SUM(D61:D61)</f>
        <v>50.596000000000004</v>
      </c>
      <c r="E62" s="30"/>
      <c r="F62" s="29"/>
    </row>
    <row r="63" spans="1:6" s="14" customFormat="1" x14ac:dyDescent="0.2">
      <c r="A63" s="27"/>
      <c r="B63" s="32"/>
      <c r="C63" s="20"/>
      <c r="D63" s="33"/>
      <c r="E63" s="27"/>
      <c r="F63" s="33"/>
    </row>
    <row r="64" spans="1:6" s="14" customFormat="1" x14ac:dyDescent="0.2">
      <c r="A64" s="15" t="s">
        <v>34</v>
      </c>
      <c r="B64" s="30"/>
      <c r="C64" s="28"/>
      <c r="D64" s="18">
        <f>D73+D80+D86+D92+D124+D151+D159+D167</f>
        <v>69500</v>
      </c>
      <c r="E64" s="18"/>
      <c r="F64" s="18">
        <f>F73+F80+F86+F92+F124+F151+F159</f>
        <v>23950</v>
      </c>
    </row>
    <row r="65" spans="1:6" s="14" customFormat="1" x14ac:dyDescent="0.2">
      <c r="A65" s="15" t="s">
        <v>31</v>
      </c>
      <c r="B65" s="38"/>
      <c r="C65" s="20"/>
      <c r="D65" s="29"/>
      <c r="E65" s="30"/>
      <c r="F65" s="29"/>
    </row>
    <row r="66" spans="1:6" s="14" customFormat="1" ht="23.25" customHeight="1" x14ac:dyDescent="0.2">
      <c r="A66" s="15"/>
      <c r="B66" s="30" t="s">
        <v>3</v>
      </c>
      <c r="C66" s="34" t="s">
        <v>125</v>
      </c>
      <c r="D66" s="29">
        <v>1000</v>
      </c>
      <c r="E66" s="30"/>
      <c r="F66" s="29"/>
    </row>
    <row r="67" spans="1:6" s="14" customFormat="1" x14ac:dyDescent="0.2">
      <c r="A67" s="15"/>
      <c r="B67" s="38" t="s">
        <v>10</v>
      </c>
      <c r="C67" s="34" t="s">
        <v>62</v>
      </c>
      <c r="D67" s="29">
        <v>1000</v>
      </c>
      <c r="E67" s="30"/>
      <c r="F67" s="29"/>
    </row>
    <row r="68" spans="1:6" s="14" customFormat="1" ht="24" x14ac:dyDescent="0.2">
      <c r="A68" s="15"/>
      <c r="B68" s="38" t="s">
        <v>13</v>
      </c>
      <c r="C68" s="34" t="s">
        <v>126</v>
      </c>
      <c r="D68" s="29">
        <v>500</v>
      </c>
      <c r="E68" s="30"/>
      <c r="F68" s="29"/>
    </row>
    <row r="69" spans="1:6" s="14" customFormat="1" ht="24" customHeight="1" x14ac:dyDescent="0.2">
      <c r="A69" s="15"/>
      <c r="B69" s="38" t="s">
        <v>13</v>
      </c>
      <c r="C69" s="34" t="s">
        <v>127</v>
      </c>
      <c r="D69" s="29">
        <v>800</v>
      </c>
      <c r="E69" s="30"/>
      <c r="F69" s="29"/>
    </row>
    <row r="70" spans="1:6" s="14" customFormat="1" ht="24" x14ac:dyDescent="0.2">
      <c r="A70" s="15"/>
      <c r="B70" s="38" t="s">
        <v>13</v>
      </c>
      <c r="C70" s="34" t="s">
        <v>128</v>
      </c>
      <c r="D70" s="29">
        <v>1000</v>
      </c>
      <c r="E70" s="30"/>
      <c r="F70" s="29"/>
    </row>
    <row r="71" spans="1:6" s="14" customFormat="1" ht="24" x14ac:dyDescent="0.2">
      <c r="A71" s="15"/>
      <c r="B71" s="38" t="s">
        <v>13</v>
      </c>
      <c r="C71" s="34" t="s">
        <v>186</v>
      </c>
      <c r="D71" s="29">
        <v>800</v>
      </c>
      <c r="E71" s="30"/>
      <c r="F71" s="29"/>
    </row>
    <row r="72" spans="1:6" s="14" customFormat="1" ht="36" customHeight="1" x14ac:dyDescent="0.2">
      <c r="A72" s="30"/>
      <c r="B72" s="30" t="s">
        <v>13</v>
      </c>
      <c r="C72" s="34" t="s">
        <v>129</v>
      </c>
      <c r="D72" s="29">
        <v>2000</v>
      </c>
      <c r="E72" s="30"/>
      <c r="F72" s="29"/>
    </row>
    <row r="73" spans="1:6" s="14" customFormat="1" x14ac:dyDescent="0.2">
      <c r="A73" s="30"/>
      <c r="B73" s="38"/>
      <c r="C73" s="20" t="s">
        <v>23</v>
      </c>
      <c r="D73" s="31">
        <f>SUM(D66:D72)</f>
        <v>7100</v>
      </c>
      <c r="E73" s="30"/>
      <c r="F73" s="29"/>
    </row>
    <row r="74" spans="1:6" s="14" customFormat="1" x14ac:dyDescent="0.2">
      <c r="A74" s="30"/>
      <c r="B74" s="28"/>
      <c r="C74" s="20"/>
      <c r="D74" s="29"/>
      <c r="E74" s="30"/>
      <c r="F74" s="29"/>
    </row>
    <row r="75" spans="1:6" s="14" customFormat="1" x14ac:dyDescent="0.2">
      <c r="A75" s="15" t="s">
        <v>117</v>
      </c>
      <c r="B75" s="28"/>
      <c r="C75" s="20"/>
      <c r="D75" s="29"/>
      <c r="E75" s="30"/>
      <c r="F75" s="29"/>
    </row>
    <row r="76" spans="1:6" s="14" customFormat="1" ht="24" x14ac:dyDescent="0.2">
      <c r="A76" s="15"/>
      <c r="B76" s="28" t="s">
        <v>6</v>
      </c>
      <c r="C76" s="34" t="s">
        <v>130</v>
      </c>
      <c r="D76" s="29">
        <v>100</v>
      </c>
      <c r="E76" s="30"/>
      <c r="F76" s="29"/>
    </row>
    <row r="77" spans="1:6" s="14" customFormat="1" ht="24" customHeight="1" x14ac:dyDescent="0.2">
      <c r="A77" s="15"/>
      <c r="B77" s="28" t="s">
        <v>10</v>
      </c>
      <c r="C77" s="34" t="s">
        <v>131</v>
      </c>
      <c r="D77" s="29">
        <v>400</v>
      </c>
      <c r="E77" s="30"/>
      <c r="F77" s="29"/>
    </row>
    <row r="78" spans="1:6" s="14" customFormat="1" x14ac:dyDescent="0.2">
      <c r="A78" s="15"/>
      <c r="B78" s="28" t="s">
        <v>24</v>
      </c>
      <c r="C78" s="34" t="s">
        <v>63</v>
      </c>
      <c r="D78" s="29">
        <v>500</v>
      </c>
      <c r="E78" s="30"/>
      <c r="F78" s="29"/>
    </row>
    <row r="79" spans="1:6" s="14" customFormat="1" ht="24" x14ac:dyDescent="0.2">
      <c r="A79" s="15"/>
      <c r="B79" s="28" t="s">
        <v>13</v>
      </c>
      <c r="C79" s="34" t="s">
        <v>187</v>
      </c>
      <c r="D79" s="29">
        <v>300</v>
      </c>
      <c r="E79" s="30"/>
      <c r="F79" s="29"/>
    </row>
    <row r="80" spans="1:6" s="14" customFormat="1" x14ac:dyDescent="0.2">
      <c r="A80" s="30"/>
      <c r="B80" s="28"/>
      <c r="C80" s="20" t="s">
        <v>23</v>
      </c>
      <c r="D80" s="31">
        <f>SUM(D76:D79)</f>
        <v>1300</v>
      </c>
      <c r="E80" s="30"/>
      <c r="F80" s="29"/>
    </row>
    <row r="81" spans="1:6" s="14" customFormat="1" x14ac:dyDescent="0.2">
      <c r="A81" s="30"/>
      <c r="B81" s="28"/>
      <c r="C81" s="20"/>
      <c r="D81" s="29"/>
      <c r="E81" s="30"/>
      <c r="F81" s="29"/>
    </row>
    <row r="82" spans="1:6" s="14" customFormat="1" x14ac:dyDescent="0.2">
      <c r="A82" s="22" t="s">
        <v>64</v>
      </c>
      <c r="B82" s="38"/>
      <c r="C82" s="39"/>
      <c r="D82" s="29"/>
      <c r="E82" s="30"/>
      <c r="F82" s="29"/>
    </row>
    <row r="83" spans="1:6" s="14" customFormat="1" ht="12" customHeight="1" x14ac:dyDescent="0.2">
      <c r="A83" s="22"/>
      <c r="B83" s="38" t="s">
        <v>41</v>
      </c>
      <c r="C83" s="39" t="s">
        <v>65</v>
      </c>
      <c r="D83" s="29"/>
      <c r="E83" s="30"/>
      <c r="F83" s="29">
        <v>550</v>
      </c>
    </row>
    <row r="84" spans="1:6" s="14" customFormat="1" ht="24" x14ac:dyDescent="0.2">
      <c r="A84" s="22"/>
      <c r="B84" s="38" t="s">
        <v>13</v>
      </c>
      <c r="C84" s="39" t="s">
        <v>132</v>
      </c>
      <c r="D84" s="29">
        <v>925</v>
      </c>
      <c r="E84" s="30"/>
      <c r="F84" s="29"/>
    </row>
    <row r="85" spans="1:6" s="14" customFormat="1" ht="36" customHeight="1" x14ac:dyDescent="0.2">
      <c r="A85" s="22"/>
      <c r="B85" s="28" t="s">
        <v>13</v>
      </c>
      <c r="C85" s="39" t="s">
        <v>133</v>
      </c>
      <c r="D85" s="29">
        <v>400</v>
      </c>
      <c r="E85" s="30"/>
      <c r="F85" s="29"/>
    </row>
    <row r="86" spans="1:6" s="14" customFormat="1" x14ac:dyDescent="0.2">
      <c r="A86" s="22"/>
      <c r="B86" s="28"/>
      <c r="C86" s="20" t="s">
        <v>23</v>
      </c>
      <c r="D86" s="31">
        <f>SUM(D83:D85)</f>
        <v>1325</v>
      </c>
      <c r="E86" s="30"/>
      <c r="F86" s="31">
        <f>SUM(F83:F85)</f>
        <v>550</v>
      </c>
    </row>
    <row r="87" spans="1:6" s="14" customFormat="1" x14ac:dyDescent="0.2">
      <c r="A87" s="22"/>
      <c r="B87" s="28"/>
      <c r="C87" s="39"/>
      <c r="D87" s="29"/>
      <c r="E87" s="30"/>
      <c r="F87" s="29"/>
    </row>
    <row r="88" spans="1:6" s="14" customFormat="1" x14ac:dyDescent="0.2">
      <c r="A88" s="22" t="s">
        <v>118</v>
      </c>
      <c r="B88" s="28"/>
      <c r="C88" s="39"/>
      <c r="D88" s="29"/>
      <c r="E88" s="30"/>
      <c r="F88" s="29"/>
    </row>
    <row r="89" spans="1:6" s="14" customFormat="1" x14ac:dyDescent="0.2">
      <c r="A89" s="22"/>
      <c r="B89" s="28" t="s">
        <v>4</v>
      </c>
      <c r="C89" s="39" t="s">
        <v>66</v>
      </c>
      <c r="D89" s="29">
        <f>2*1000</f>
        <v>2000</v>
      </c>
      <c r="E89" s="30"/>
      <c r="F89" s="29"/>
    </row>
    <row r="90" spans="1:6" s="14" customFormat="1" ht="36" x14ac:dyDescent="0.2">
      <c r="A90" s="30"/>
      <c r="B90" s="38" t="s">
        <v>4</v>
      </c>
      <c r="C90" s="39" t="s">
        <v>134</v>
      </c>
      <c r="D90" s="29">
        <f>1*1000</f>
        <v>1000</v>
      </c>
      <c r="E90" s="30"/>
      <c r="F90" s="29"/>
    </row>
    <row r="91" spans="1:6" s="14" customFormat="1" x14ac:dyDescent="0.2">
      <c r="A91" s="22"/>
      <c r="B91" s="28" t="s">
        <v>13</v>
      </c>
      <c r="C91" s="39" t="s">
        <v>67</v>
      </c>
      <c r="D91" s="29">
        <f>0.75*1000</f>
        <v>750</v>
      </c>
      <c r="E91" s="30"/>
      <c r="F91" s="29"/>
    </row>
    <row r="92" spans="1:6" s="14" customFormat="1" x14ac:dyDescent="0.2">
      <c r="A92" s="22"/>
      <c r="B92" s="28"/>
      <c r="C92" s="20" t="s">
        <v>23</v>
      </c>
      <c r="D92" s="31">
        <f>SUM(D89:D91)</f>
        <v>3750</v>
      </c>
      <c r="E92" s="30"/>
      <c r="F92" s="29"/>
    </row>
    <row r="93" spans="1:6" s="14" customFormat="1" x14ac:dyDescent="0.2">
      <c r="A93" s="22"/>
      <c r="B93" s="28"/>
      <c r="C93" s="20"/>
      <c r="D93" s="12"/>
      <c r="E93" s="30"/>
      <c r="F93" s="29"/>
    </row>
    <row r="94" spans="1:6" s="14" customFormat="1" ht="13.5" x14ac:dyDescent="0.2">
      <c r="A94" s="22" t="s">
        <v>194</v>
      </c>
      <c r="B94" s="28"/>
      <c r="C94" s="39"/>
      <c r="D94" s="29"/>
      <c r="E94" s="30"/>
      <c r="F94" s="29"/>
    </row>
    <row r="95" spans="1:6" s="14" customFormat="1" x14ac:dyDescent="0.2">
      <c r="A95" s="22"/>
      <c r="B95" s="28" t="s">
        <v>3</v>
      </c>
      <c r="C95" s="39" t="s">
        <v>68</v>
      </c>
      <c r="D95" s="29">
        <f>1.2*1000</f>
        <v>1200</v>
      </c>
      <c r="E95" s="30"/>
      <c r="F95" s="29"/>
    </row>
    <row r="96" spans="1:6" s="14" customFormat="1" ht="12" customHeight="1" x14ac:dyDescent="0.2">
      <c r="A96" s="22"/>
      <c r="B96" s="28" t="s">
        <v>6</v>
      </c>
      <c r="C96" s="39" t="s">
        <v>135</v>
      </c>
      <c r="D96" s="29"/>
      <c r="E96" s="30"/>
      <c r="F96" s="29">
        <f>5*1000</f>
        <v>5000</v>
      </c>
    </row>
    <row r="97" spans="1:6" s="14" customFormat="1" ht="12" customHeight="1" x14ac:dyDescent="0.2">
      <c r="A97" s="22"/>
      <c r="B97" s="28" t="s">
        <v>6</v>
      </c>
      <c r="C97" s="39" t="s">
        <v>69</v>
      </c>
      <c r="D97" s="29">
        <f>2*1000</f>
        <v>2000</v>
      </c>
      <c r="E97" s="30"/>
      <c r="F97" s="29"/>
    </row>
    <row r="98" spans="1:6" s="14" customFormat="1" ht="12" customHeight="1" x14ac:dyDescent="0.2">
      <c r="A98" s="22"/>
      <c r="B98" s="28" t="s">
        <v>6</v>
      </c>
      <c r="C98" s="39" t="s">
        <v>70</v>
      </c>
      <c r="D98" s="29">
        <f>2*1000</f>
        <v>2000</v>
      </c>
      <c r="E98" s="30"/>
      <c r="F98" s="29"/>
    </row>
    <row r="99" spans="1:6" s="14" customFormat="1" x14ac:dyDescent="0.2">
      <c r="A99" s="22"/>
      <c r="B99" s="28" t="s">
        <v>38</v>
      </c>
      <c r="C99" s="39" t="s">
        <v>71</v>
      </c>
      <c r="D99" s="29"/>
      <c r="E99" s="30"/>
      <c r="F99" s="29">
        <f>2*1000</f>
        <v>2000</v>
      </c>
    </row>
    <row r="100" spans="1:6" s="14" customFormat="1" ht="12" customHeight="1" x14ac:dyDescent="0.2">
      <c r="A100" s="22"/>
      <c r="B100" s="28" t="s">
        <v>4</v>
      </c>
      <c r="C100" s="39" t="s">
        <v>72</v>
      </c>
      <c r="D100" s="29">
        <f>2*1000</f>
        <v>2000</v>
      </c>
      <c r="E100" s="30"/>
      <c r="F100" s="29"/>
    </row>
    <row r="101" spans="1:6" s="14" customFormat="1" ht="36" customHeight="1" x14ac:dyDescent="0.2">
      <c r="A101" s="22"/>
      <c r="B101" s="28" t="s">
        <v>4</v>
      </c>
      <c r="C101" s="39" t="s">
        <v>136</v>
      </c>
      <c r="D101" s="29">
        <f>1.5*1000</f>
        <v>1500</v>
      </c>
      <c r="E101" s="30"/>
      <c r="F101" s="29"/>
    </row>
    <row r="102" spans="1:6" s="14" customFormat="1" x14ac:dyDescent="0.2">
      <c r="A102" s="22"/>
      <c r="B102" s="28" t="s">
        <v>4</v>
      </c>
      <c r="C102" s="39" t="s">
        <v>73</v>
      </c>
      <c r="D102" s="29">
        <f>5*1000</f>
        <v>5000</v>
      </c>
      <c r="E102" s="30"/>
      <c r="F102" s="29"/>
    </row>
    <row r="103" spans="1:6" s="14" customFormat="1" ht="24" x14ac:dyDescent="0.2">
      <c r="A103" s="22"/>
      <c r="B103" s="28" t="s">
        <v>4</v>
      </c>
      <c r="C103" s="39" t="s">
        <v>137</v>
      </c>
      <c r="D103" s="29">
        <f>1*1000</f>
        <v>1000</v>
      </c>
      <c r="E103" s="30"/>
      <c r="F103" s="29"/>
    </row>
    <row r="104" spans="1:6" s="14" customFormat="1" x14ac:dyDescent="0.2">
      <c r="A104" s="22"/>
      <c r="B104" s="28" t="s">
        <v>29</v>
      </c>
      <c r="C104" s="39" t="s">
        <v>73</v>
      </c>
      <c r="D104" s="29">
        <f>2*1000</f>
        <v>2000</v>
      </c>
      <c r="E104" s="30"/>
      <c r="F104" s="29"/>
    </row>
    <row r="105" spans="1:6" s="14" customFormat="1" ht="24" customHeight="1" x14ac:dyDescent="0.2">
      <c r="A105" s="22"/>
      <c r="B105" s="28" t="s">
        <v>19</v>
      </c>
      <c r="C105" s="39" t="s">
        <v>138</v>
      </c>
      <c r="D105" s="29"/>
      <c r="E105" s="30"/>
      <c r="F105" s="29">
        <f>1*1000</f>
        <v>1000</v>
      </c>
    </row>
    <row r="106" spans="1:6" s="14" customFormat="1" x14ac:dyDescent="0.2">
      <c r="A106" s="22"/>
      <c r="B106" s="28" t="s">
        <v>19</v>
      </c>
      <c r="C106" s="39" t="s">
        <v>74</v>
      </c>
      <c r="D106" s="29">
        <f>0.8*1000</f>
        <v>800</v>
      </c>
      <c r="E106" s="30"/>
      <c r="F106" s="29"/>
    </row>
    <row r="107" spans="1:6" s="14" customFormat="1" ht="24" x14ac:dyDescent="0.2">
      <c r="A107" s="22"/>
      <c r="B107" s="28" t="s">
        <v>19</v>
      </c>
      <c r="C107" s="39" t="s">
        <v>139</v>
      </c>
      <c r="D107" s="29"/>
      <c r="E107" s="30"/>
      <c r="F107" s="29">
        <f>5*1000</f>
        <v>5000</v>
      </c>
    </row>
    <row r="108" spans="1:6" s="14" customFormat="1" ht="24" x14ac:dyDescent="0.2">
      <c r="A108" s="22"/>
      <c r="B108" s="28" t="s">
        <v>5</v>
      </c>
      <c r="C108" s="39" t="s">
        <v>140</v>
      </c>
      <c r="D108" s="29"/>
      <c r="E108" s="30"/>
      <c r="F108" s="29">
        <f>5*1000</f>
        <v>5000</v>
      </c>
    </row>
    <row r="109" spans="1:6" s="14" customFormat="1" ht="12" customHeight="1" x14ac:dyDescent="0.2">
      <c r="A109" s="22"/>
      <c r="B109" s="28" t="s">
        <v>41</v>
      </c>
      <c r="C109" s="39" t="s">
        <v>65</v>
      </c>
      <c r="D109" s="29"/>
      <c r="E109" s="30"/>
      <c r="F109" s="29">
        <f>2.4*1000</f>
        <v>2400</v>
      </c>
    </row>
    <row r="110" spans="1:6" s="14" customFormat="1" x14ac:dyDescent="0.2">
      <c r="A110" s="22"/>
      <c r="B110" s="28" t="s">
        <v>8</v>
      </c>
      <c r="C110" s="39" t="s">
        <v>75</v>
      </c>
      <c r="D110" s="29">
        <f>2*1000</f>
        <v>2000</v>
      </c>
      <c r="E110" s="30"/>
      <c r="F110" s="29"/>
    </row>
    <row r="111" spans="1:6" s="14" customFormat="1" ht="12" customHeight="1" x14ac:dyDescent="0.2">
      <c r="A111" s="22"/>
      <c r="B111" s="28" t="s">
        <v>8</v>
      </c>
      <c r="C111" s="39" t="s">
        <v>76</v>
      </c>
      <c r="D111" s="29">
        <f>1.75*1000</f>
        <v>1750</v>
      </c>
      <c r="E111" s="30"/>
      <c r="F111" s="29"/>
    </row>
    <row r="112" spans="1:6" s="14" customFormat="1" x14ac:dyDescent="0.2">
      <c r="A112" s="22"/>
      <c r="B112" s="28" t="s">
        <v>25</v>
      </c>
      <c r="C112" s="39" t="s">
        <v>141</v>
      </c>
      <c r="D112" s="29"/>
      <c r="E112" s="30"/>
      <c r="F112" s="29">
        <f>3*1000</f>
        <v>3000</v>
      </c>
    </row>
    <row r="113" spans="1:6" s="14" customFormat="1" ht="12" customHeight="1" x14ac:dyDescent="0.2">
      <c r="A113" s="22"/>
      <c r="B113" s="28" t="s">
        <v>25</v>
      </c>
      <c r="C113" s="39" t="s">
        <v>77</v>
      </c>
      <c r="D113" s="29">
        <f>2*1000</f>
        <v>2000</v>
      </c>
      <c r="E113" s="30"/>
      <c r="F113" s="29"/>
    </row>
    <row r="114" spans="1:6" s="14" customFormat="1" x14ac:dyDescent="0.2">
      <c r="A114" s="22"/>
      <c r="B114" s="28" t="s">
        <v>25</v>
      </c>
      <c r="C114" s="39" t="s">
        <v>78</v>
      </c>
      <c r="D114" s="29">
        <f>0.75*1000</f>
        <v>750</v>
      </c>
      <c r="E114" s="30"/>
      <c r="F114" s="29"/>
    </row>
    <row r="115" spans="1:6" s="14" customFormat="1" ht="24" x14ac:dyDescent="0.2">
      <c r="A115" s="22"/>
      <c r="B115" s="28" t="s">
        <v>39</v>
      </c>
      <c r="C115" s="39" t="s">
        <v>142</v>
      </c>
      <c r="D115" s="29">
        <f>0.8*1000</f>
        <v>800</v>
      </c>
      <c r="E115" s="30"/>
      <c r="F115" s="29"/>
    </row>
    <row r="116" spans="1:6" s="14" customFormat="1" ht="24" x14ac:dyDescent="0.2">
      <c r="A116" s="22"/>
      <c r="B116" s="28" t="s">
        <v>79</v>
      </c>
      <c r="C116" s="39" t="s">
        <v>143</v>
      </c>
      <c r="D116" s="29">
        <f>0.5*1000</f>
        <v>500</v>
      </c>
      <c r="E116" s="30"/>
      <c r="F116" s="29"/>
    </row>
    <row r="117" spans="1:6" s="14" customFormat="1" ht="36" x14ac:dyDescent="0.2">
      <c r="A117" s="22"/>
      <c r="B117" s="28" t="s">
        <v>188</v>
      </c>
      <c r="C117" s="39" t="s">
        <v>189</v>
      </c>
      <c r="D117" s="29">
        <f>2*1000</f>
        <v>2000</v>
      </c>
      <c r="E117" s="30"/>
      <c r="F117" s="29"/>
    </row>
    <row r="118" spans="1:6" s="14" customFormat="1" ht="23.25" customHeight="1" x14ac:dyDescent="0.2">
      <c r="A118" s="22"/>
      <c r="B118" s="28" t="s">
        <v>13</v>
      </c>
      <c r="C118" s="39" t="s">
        <v>144</v>
      </c>
      <c r="D118" s="29">
        <f>2*1000</f>
        <v>2000</v>
      </c>
      <c r="E118" s="30"/>
      <c r="F118" s="29"/>
    </row>
    <row r="119" spans="1:6" s="14" customFormat="1" x14ac:dyDescent="0.2">
      <c r="A119" s="22"/>
      <c r="B119" s="28" t="s">
        <v>13</v>
      </c>
      <c r="C119" s="39" t="s">
        <v>80</v>
      </c>
      <c r="D119" s="29">
        <f>1*1000</f>
        <v>1000</v>
      </c>
      <c r="E119" s="30"/>
      <c r="F119" s="29"/>
    </row>
    <row r="120" spans="1:6" s="14" customFormat="1" ht="36" customHeight="1" x14ac:dyDescent="0.2">
      <c r="A120" s="22"/>
      <c r="B120" s="28" t="s">
        <v>13</v>
      </c>
      <c r="C120" s="39" t="s">
        <v>145</v>
      </c>
      <c r="D120" s="29">
        <f>2*1000</f>
        <v>2000</v>
      </c>
      <c r="E120" s="30"/>
      <c r="F120" s="29"/>
    </row>
    <row r="121" spans="1:6" s="14" customFormat="1" ht="24" x14ac:dyDescent="0.2">
      <c r="A121" s="22"/>
      <c r="B121" s="28" t="s">
        <v>13</v>
      </c>
      <c r="C121" s="39" t="s">
        <v>146</v>
      </c>
      <c r="D121" s="29">
        <f>2*1000</f>
        <v>2000</v>
      </c>
      <c r="E121" s="30"/>
      <c r="F121" s="29"/>
    </row>
    <row r="122" spans="1:6" s="14" customFormat="1" ht="24" x14ac:dyDescent="0.2">
      <c r="A122" s="22"/>
      <c r="B122" s="28" t="s">
        <v>13</v>
      </c>
      <c r="C122" s="39" t="s">
        <v>147</v>
      </c>
      <c r="D122" s="29">
        <f>2*1000</f>
        <v>2000</v>
      </c>
      <c r="E122" s="30"/>
      <c r="F122" s="29"/>
    </row>
    <row r="123" spans="1:6" s="14" customFormat="1" ht="24" x14ac:dyDescent="0.2">
      <c r="A123" s="22"/>
      <c r="B123" s="28" t="s">
        <v>13</v>
      </c>
      <c r="C123" s="39" t="s">
        <v>148</v>
      </c>
      <c r="D123" s="29">
        <f>2*1000</f>
        <v>2000</v>
      </c>
      <c r="E123" s="30"/>
      <c r="F123" s="29"/>
    </row>
    <row r="124" spans="1:6" s="14" customFormat="1" x14ac:dyDescent="0.2">
      <c r="A124" s="30"/>
      <c r="B124" s="38"/>
      <c r="C124" s="20" t="s">
        <v>23</v>
      </c>
      <c r="D124" s="31">
        <f>SUM(D95:D123)</f>
        <v>38300</v>
      </c>
      <c r="E124" s="30"/>
      <c r="F124" s="31">
        <f>SUM(F95:F123)</f>
        <v>23400</v>
      </c>
    </row>
    <row r="125" spans="1:6" s="14" customFormat="1" x14ac:dyDescent="0.2">
      <c r="A125" s="30"/>
      <c r="B125" s="38"/>
      <c r="C125" s="20"/>
      <c r="D125" s="12"/>
      <c r="E125" s="30"/>
      <c r="F125" s="35"/>
    </row>
    <row r="126" spans="1:6" s="14" customFormat="1" x14ac:dyDescent="0.2">
      <c r="A126" s="15" t="s">
        <v>32</v>
      </c>
      <c r="B126" s="38"/>
      <c r="C126" s="39"/>
      <c r="D126" s="29"/>
      <c r="E126" s="30"/>
      <c r="F126" s="29"/>
    </row>
    <row r="127" spans="1:6" s="14" customFormat="1" ht="24" x14ac:dyDescent="0.2">
      <c r="A127" s="30"/>
      <c r="B127" s="39" t="s">
        <v>43</v>
      </c>
      <c r="C127" s="39" t="s">
        <v>149</v>
      </c>
      <c r="D127" s="29">
        <v>500</v>
      </c>
      <c r="E127" s="30"/>
      <c r="F127" s="29"/>
    </row>
    <row r="128" spans="1:6" s="14" customFormat="1" ht="24" x14ac:dyDescent="0.2">
      <c r="A128" s="30"/>
      <c r="B128" s="39" t="s">
        <v>40</v>
      </c>
      <c r="C128" s="39" t="s">
        <v>150</v>
      </c>
      <c r="D128" s="29">
        <v>450</v>
      </c>
      <c r="E128" s="30"/>
      <c r="F128" s="29"/>
    </row>
    <row r="129" spans="1:6" s="14" customFormat="1" ht="24" x14ac:dyDescent="0.2">
      <c r="A129" s="30"/>
      <c r="B129" s="39" t="s">
        <v>4</v>
      </c>
      <c r="C129" s="39" t="s">
        <v>151</v>
      </c>
      <c r="D129" s="29">
        <v>1000</v>
      </c>
      <c r="E129" s="30"/>
      <c r="F129" s="29"/>
    </row>
    <row r="130" spans="1:6" s="14" customFormat="1" x14ac:dyDescent="0.2">
      <c r="A130" s="30"/>
      <c r="B130" s="39" t="s">
        <v>4</v>
      </c>
      <c r="C130" s="39" t="s">
        <v>66</v>
      </c>
      <c r="D130" s="29">
        <v>500</v>
      </c>
      <c r="E130" s="30"/>
      <c r="F130" s="29"/>
    </row>
    <row r="131" spans="1:6" s="14" customFormat="1" ht="24" x14ac:dyDescent="0.2">
      <c r="A131" s="30"/>
      <c r="B131" s="39" t="s">
        <v>4</v>
      </c>
      <c r="C131" s="39" t="s">
        <v>152</v>
      </c>
      <c r="D131" s="29">
        <v>750</v>
      </c>
      <c r="E131" s="30"/>
      <c r="F131" s="29"/>
    </row>
    <row r="132" spans="1:6" s="14" customFormat="1" ht="24" customHeight="1" x14ac:dyDescent="0.2">
      <c r="A132" s="30"/>
      <c r="B132" s="39" t="s">
        <v>81</v>
      </c>
      <c r="C132" s="39" t="s">
        <v>153</v>
      </c>
      <c r="D132" s="29">
        <v>500</v>
      </c>
      <c r="E132" s="30"/>
      <c r="F132" s="29"/>
    </row>
    <row r="133" spans="1:6" s="14" customFormat="1" ht="12" customHeight="1" x14ac:dyDescent="0.2">
      <c r="A133" s="30"/>
      <c r="B133" s="39" t="s">
        <v>19</v>
      </c>
      <c r="C133" s="39" t="s">
        <v>82</v>
      </c>
      <c r="D133" s="29">
        <v>350</v>
      </c>
      <c r="E133" s="30"/>
      <c r="F133" s="29"/>
    </row>
    <row r="134" spans="1:6" s="14" customFormat="1" ht="24" customHeight="1" x14ac:dyDescent="0.2">
      <c r="A134" s="30"/>
      <c r="B134" s="39" t="s">
        <v>19</v>
      </c>
      <c r="C134" s="39" t="s">
        <v>154</v>
      </c>
      <c r="D134" s="29">
        <v>500</v>
      </c>
      <c r="E134" s="30"/>
      <c r="F134" s="29"/>
    </row>
    <row r="135" spans="1:6" s="14" customFormat="1" x14ac:dyDescent="0.2">
      <c r="A135" s="30"/>
      <c r="B135" s="39" t="s">
        <v>10</v>
      </c>
      <c r="C135" s="39" t="s">
        <v>83</v>
      </c>
      <c r="D135" s="29">
        <v>500</v>
      </c>
      <c r="E135" s="30"/>
      <c r="F135" s="29"/>
    </row>
    <row r="136" spans="1:6" s="14" customFormat="1" ht="24" x14ac:dyDescent="0.2">
      <c r="A136" s="30"/>
      <c r="B136" s="39" t="s">
        <v>10</v>
      </c>
      <c r="C136" s="40" t="s">
        <v>155</v>
      </c>
      <c r="D136" s="29">
        <v>500</v>
      </c>
      <c r="E136" s="30"/>
      <c r="F136" s="29"/>
    </row>
    <row r="137" spans="1:6" s="14" customFormat="1" ht="12" customHeight="1" x14ac:dyDescent="0.2">
      <c r="A137" s="30"/>
      <c r="B137" s="39" t="s">
        <v>8</v>
      </c>
      <c r="C137" s="39" t="s">
        <v>84</v>
      </c>
      <c r="D137" s="29">
        <v>500</v>
      </c>
      <c r="E137" s="30"/>
      <c r="F137" s="29"/>
    </row>
    <row r="138" spans="1:6" s="14" customFormat="1" x14ac:dyDescent="0.2">
      <c r="A138" s="30"/>
      <c r="B138" s="39" t="s">
        <v>24</v>
      </c>
      <c r="C138" s="39" t="s">
        <v>85</v>
      </c>
      <c r="D138" s="29">
        <v>400</v>
      </c>
      <c r="E138" s="30"/>
      <c r="F138" s="29"/>
    </row>
    <row r="139" spans="1:6" s="14" customFormat="1" x14ac:dyDescent="0.2">
      <c r="A139" s="30"/>
      <c r="B139" s="39" t="s">
        <v>24</v>
      </c>
      <c r="C139" s="39" t="s">
        <v>63</v>
      </c>
      <c r="D139" s="29">
        <v>500</v>
      </c>
      <c r="E139" s="30"/>
      <c r="F139" s="29"/>
    </row>
    <row r="140" spans="1:6" s="14" customFormat="1" x14ac:dyDescent="0.2">
      <c r="A140" s="30"/>
      <c r="B140" s="39" t="s">
        <v>24</v>
      </c>
      <c r="C140" s="39" t="s">
        <v>86</v>
      </c>
      <c r="D140" s="29">
        <v>1000</v>
      </c>
      <c r="E140" s="30"/>
      <c r="F140" s="29"/>
    </row>
    <row r="141" spans="1:6" s="14" customFormat="1" ht="24" x14ac:dyDescent="0.2">
      <c r="A141" s="30"/>
      <c r="B141" s="39" t="s">
        <v>13</v>
      </c>
      <c r="C141" s="39" t="s">
        <v>156</v>
      </c>
      <c r="D141" s="29">
        <v>500</v>
      </c>
      <c r="E141" s="30"/>
      <c r="F141" s="29"/>
    </row>
    <row r="142" spans="1:6" s="14" customFormat="1" ht="24" x14ac:dyDescent="0.2">
      <c r="A142" s="30"/>
      <c r="B142" s="39" t="s">
        <v>13</v>
      </c>
      <c r="C142" s="39" t="s">
        <v>157</v>
      </c>
      <c r="D142" s="29">
        <v>500</v>
      </c>
      <c r="E142" s="30"/>
      <c r="F142" s="29"/>
    </row>
    <row r="143" spans="1:6" s="14" customFormat="1" ht="23.25" customHeight="1" x14ac:dyDescent="0.2">
      <c r="A143" s="30"/>
      <c r="B143" s="39" t="s">
        <v>13</v>
      </c>
      <c r="C143" s="39" t="s">
        <v>158</v>
      </c>
      <c r="D143" s="29">
        <v>500</v>
      </c>
      <c r="E143" s="30"/>
      <c r="F143" s="29"/>
    </row>
    <row r="144" spans="1:6" s="14" customFormat="1" ht="24" x14ac:dyDescent="0.2">
      <c r="A144" s="30"/>
      <c r="B144" s="39" t="s">
        <v>13</v>
      </c>
      <c r="C144" s="39" t="s">
        <v>159</v>
      </c>
      <c r="D144" s="29">
        <v>500</v>
      </c>
      <c r="E144" s="30"/>
      <c r="F144" s="29"/>
    </row>
    <row r="145" spans="1:6" s="14" customFormat="1" ht="24" customHeight="1" x14ac:dyDescent="0.2">
      <c r="A145" s="30"/>
      <c r="B145" s="39" t="s">
        <v>13</v>
      </c>
      <c r="C145" s="39" t="s">
        <v>160</v>
      </c>
      <c r="D145" s="29">
        <v>750</v>
      </c>
      <c r="E145" s="30"/>
      <c r="F145" s="29"/>
    </row>
    <row r="146" spans="1:6" s="14" customFormat="1" ht="48" x14ac:dyDescent="0.2">
      <c r="A146" s="30"/>
      <c r="B146" s="39" t="s">
        <v>13</v>
      </c>
      <c r="C146" s="39" t="s">
        <v>161</v>
      </c>
      <c r="D146" s="29">
        <v>1000</v>
      </c>
      <c r="E146" s="30"/>
      <c r="F146" s="29"/>
    </row>
    <row r="147" spans="1:6" s="14" customFormat="1" ht="24" x14ac:dyDescent="0.2">
      <c r="A147" s="30"/>
      <c r="B147" s="39" t="s">
        <v>13</v>
      </c>
      <c r="C147" s="39" t="s">
        <v>162</v>
      </c>
      <c r="D147" s="29">
        <v>750</v>
      </c>
      <c r="E147" s="30"/>
      <c r="F147" s="29"/>
    </row>
    <row r="148" spans="1:6" s="14" customFormat="1" x14ac:dyDescent="0.2">
      <c r="A148" s="30"/>
      <c r="B148" s="39" t="s">
        <v>13</v>
      </c>
      <c r="C148" s="39" t="s">
        <v>87</v>
      </c>
      <c r="D148" s="29">
        <v>500</v>
      </c>
      <c r="E148" s="30"/>
      <c r="F148" s="29"/>
    </row>
    <row r="149" spans="1:6" s="14" customFormat="1" ht="24" x14ac:dyDescent="0.2">
      <c r="A149" s="30"/>
      <c r="B149" s="39" t="s">
        <v>13</v>
      </c>
      <c r="C149" s="39" t="s">
        <v>163</v>
      </c>
      <c r="D149" s="29">
        <v>500</v>
      </c>
      <c r="E149" s="30"/>
      <c r="F149" s="29"/>
    </row>
    <row r="150" spans="1:6" s="14" customFormat="1" ht="24" x14ac:dyDescent="0.2">
      <c r="A150" s="30"/>
      <c r="B150" s="39" t="s">
        <v>13</v>
      </c>
      <c r="C150" s="39" t="s">
        <v>164</v>
      </c>
      <c r="D150" s="29">
        <v>750</v>
      </c>
      <c r="E150" s="30"/>
      <c r="F150" s="29"/>
    </row>
    <row r="151" spans="1:6" s="14" customFormat="1" x14ac:dyDescent="0.2">
      <c r="A151" s="30"/>
      <c r="B151" s="38"/>
      <c r="C151" s="20" t="s">
        <v>23</v>
      </c>
      <c r="D151" s="31">
        <f>SUM(D127:D150)</f>
        <v>14200</v>
      </c>
      <c r="E151" s="30"/>
      <c r="F151" s="35"/>
    </row>
    <row r="152" spans="1:6" s="14" customFormat="1" x14ac:dyDescent="0.2">
      <c r="A152" s="30"/>
      <c r="B152" s="39"/>
      <c r="C152" s="39"/>
      <c r="D152" s="29"/>
      <c r="E152" s="27"/>
      <c r="F152" s="33"/>
    </row>
    <row r="153" spans="1:6" s="14" customFormat="1" x14ac:dyDescent="0.2">
      <c r="A153" s="22" t="s">
        <v>20</v>
      </c>
      <c r="B153" s="38"/>
      <c r="C153" s="39"/>
      <c r="D153" s="29"/>
      <c r="E153" s="27"/>
      <c r="F153" s="33"/>
    </row>
    <row r="154" spans="1:6" s="14" customFormat="1" ht="24" x14ac:dyDescent="0.2">
      <c r="A154" s="22"/>
      <c r="B154" s="38" t="s">
        <v>3</v>
      </c>
      <c r="C154" s="39" t="s">
        <v>165</v>
      </c>
      <c r="D154" s="29">
        <f>0.2*1000</f>
        <v>200</v>
      </c>
      <c r="E154" s="27"/>
      <c r="F154" s="33"/>
    </row>
    <row r="155" spans="1:6" s="14" customFormat="1" ht="24" x14ac:dyDescent="0.2">
      <c r="A155" s="22"/>
      <c r="B155" s="38" t="s">
        <v>4</v>
      </c>
      <c r="C155" s="39" t="s">
        <v>166</v>
      </c>
      <c r="D155" s="29">
        <f>0.5*1000</f>
        <v>500</v>
      </c>
      <c r="E155" s="27"/>
      <c r="F155" s="33"/>
    </row>
    <row r="156" spans="1:6" s="14" customFormat="1" ht="36" x14ac:dyDescent="0.2">
      <c r="A156" s="22"/>
      <c r="B156" s="43" t="s">
        <v>168</v>
      </c>
      <c r="C156" s="39" t="s">
        <v>167</v>
      </c>
      <c r="D156" s="29">
        <f>0.075*1000</f>
        <v>75</v>
      </c>
      <c r="E156" s="27"/>
      <c r="F156" s="33"/>
    </row>
    <row r="157" spans="1:6" s="14" customFormat="1" ht="24" x14ac:dyDescent="0.2">
      <c r="A157" s="22"/>
      <c r="B157" s="38" t="s">
        <v>13</v>
      </c>
      <c r="C157" s="39" t="s">
        <v>169</v>
      </c>
      <c r="D157" s="29">
        <f>0.5*1000</f>
        <v>500</v>
      </c>
      <c r="E157" s="27"/>
      <c r="F157" s="33"/>
    </row>
    <row r="158" spans="1:6" s="14" customFormat="1" ht="24" x14ac:dyDescent="0.2">
      <c r="A158" s="22"/>
      <c r="B158" s="38" t="s">
        <v>13</v>
      </c>
      <c r="C158" s="39" t="s">
        <v>170</v>
      </c>
      <c r="D158" s="29">
        <f>0.25*1000</f>
        <v>250</v>
      </c>
      <c r="E158" s="27"/>
      <c r="F158" s="33"/>
    </row>
    <row r="159" spans="1:6" s="14" customFormat="1" x14ac:dyDescent="0.2">
      <c r="A159" s="30"/>
      <c r="B159" s="38"/>
      <c r="C159" s="20" t="s">
        <v>23</v>
      </c>
      <c r="D159" s="31">
        <f>SUM(D154:D158)</f>
        <v>1525</v>
      </c>
      <c r="E159" s="27"/>
      <c r="F159" s="33"/>
    </row>
    <row r="160" spans="1:6" s="14" customFormat="1" x14ac:dyDescent="0.2">
      <c r="A160" s="30"/>
      <c r="B160" s="38"/>
      <c r="C160" s="20"/>
      <c r="D160" s="12"/>
      <c r="E160" s="27"/>
      <c r="F160" s="33"/>
    </row>
    <row r="161" spans="1:6" s="14" customFormat="1" x14ac:dyDescent="0.2">
      <c r="A161" s="22" t="s">
        <v>88</v>
      </c>
      <c r="B161" s="38"/>
      <c r="C161" s="39"/>
      <c r="D161" s="29"/>
      <c r="E161" s="27"/>
      <c r="F161" s="33"/>
    </row>
    <row r="162" spans="1:6" s="14" customFormat="1" x14ac:dyDescent="0.2">
      <c r="A162" s="22"/>
      <c r="B162" s="38" t="s">
        <v>24</v>
      </c>
      <c r="C162" s="39" t="s">
        <v>85</v>
      </c>
      <c r="D162" s="29">
        <f>0.4*1000</f>
        <v>400</v>
      </c>
      <c r="E162" s="27"/>
      <c r="F162" s="33"/>
    </row>
    <row r="163" spans="1:6" s="14" customFormat="1" ht="24" x14ac:dyDescent="0.2">
      <c r="A163" s="22"/>
      <c r="B163" s="38" t="s">
        <v>24</v>
      </c>
      <c r="C163" s="39" t="s">
        <v>171</v>
      </c>
      <c r="D163" s="29">
        <f>0.4*1000</f>
        <v>400</v>
      </c>
      <c r="E163" s="27"/>
      <c r="F163" s="33"/>
    </row>
    <row r="164" spans="1:6" s="14" customFormat="1" x14ac:dyDescent="0.2">
      <c r="A164" s="22"/>
      <c r="B164" s="38" t="s">
        <v>13</v>
      </c>
      <c r="C164" s="39" t="s">
        <v>89</v>
      </c>
      <c r="D164" s="29">
        <f>0.3*1000</f>
        <v>300</v>
      </c>
      <c r="E164" s="27"/>
      <c r="F164" s="33"/>
    </row>
    <row r="165" spans="1:6" s="14" customFormat="1" ht="24" x14ac:dyDescent="0.2">
      <c r="A165" s="22"/>
      <c r="B165" s="38" t="s">
        <v>13</v>
      </c>
      <c r="C165" s="39" t="s">
        <v>190</v>
      </c>
      <c r="D165" s="29">
        <f>0.4*1000</f>
        <v>400</v>
      </c>
      <c r="E165" s="27"/>
      <c r="F165" s="33"/>
    </row>
    <row r="166" spans="1:6" s="14" customFormat="1" x14ac:dyDescent="0.2">
      <c r="A166" s="22"/>
      <c r="B166" s="38" t="s">
        <v>13</v>
      </c>
      <c r="C166" s="39" t="s">
        <v>87</v>
      </c>
      <c r="D166" s="29">
        <f>0.5*1000</f>
        <v>500</v>
      </c>
      <c r="E166" s="27"/>
      <c r="F166" s="33"/>
    </row>
    <row r="167" spans="1:6" s="14" customFormat="1" x14ac:dyDescent="0.2">
      <c r="A167" s="30"/>
      <c r="B167" s="38"/>
      <c r="C167" s="20" t="s">
        <v>23</v>
      </c>
      <c r="D167" s="31">
        <f>SUM(D162:D166)</f>
        <v>2000</v>
      </c>
      <c r="E167" s="27"/>
      <c r="F167" s="33"/>
    </row>
    <row r="168" spans="1:6" s="14" customFormat="1" x14ac:dyDescent="0.2">
      <c r="A168" s="30"/>
      <c r="B168" s="38"/>
      <c r="C168" s="20"/>
      <c r="D168" s="12"/>
      <c r="E168" s="30"/>
      <c r="F168" s="29"/>
    </row>
    <row r="169" spans="1:6" s="14" customFormat="1" x14ac:dyDescent="0.2">
      <c r="A169" s="15" t="s">
        <v>35</v>
      </c>
      <c r="B169" s="30"/>
      <c r="C169" s="28"/>
      <c r="D169" s="18">
        <f>D172+D180+D197+D201+D205+D209+D215</f>
        <v>19822.519</v>
      </c>
      <c r="E169" s="18"/>
      <c r="F169" s="18">
        <f>F172+F180+F197+F201+F205+F209+F215</f>
        <v>2650</v>
      </c>
    </row>
    <row r="170" spans="1:6" s="14" customFormat="1" x14ac:dyDescent="0.2">
      <c r="A170" s="15" t="s">
        <v>200</v>
      </c>
      <c r="B170" s="30"/>
      <c r="C170" s="28"/>
      <c r="D170" s="29"/>
      <c r="E170" s="30"/>
      <c r="F170" s="29"/>
    </row>
    <row r="171" spans="1:6" s="14" customFormat="1" ht="24" x14ac:dyDescent="0.2">
      <c r="A171" s="30"/>
      <c r="B171" s="28" t="s">
        <v>13</v>
      </c>
      <c r="C171" s="28" t="s">
        <v>172</v>
      </c>
      <c r="D171" s="29">
        <f>0.175*1000</f>
        <v>175</v>
      </c>
      <c r="E171" s="30"/>
      <c r="F171" s="29"/>
    </row>
    <row r="172" spans="1:6" s="14" customFormat="1" x14ac:dyDescent="0.2">
      <c r="A172" s="30"/>
      <c r="B172" s="28"/>
      <c r="C172" s="20" t="s">
        <v>23</v>
      </c>
      <c r="D172" s="31">
        <f>SUM(D171:D171)</f>
        <v>175</v>
      </c>
      <c r="E172" s="30"/>
      <c r="F172" s="29"/>
    </row>
    <row r="173" spans="1:6" s="14" customFormat="1" x14ac:dyDescent="0.2">
      <c r="A173" s="30"/>
      <c r="B173" s="28"/>
      <c r="C173" s="20"/>
      <c r="D173" s="29"/>
      <c r="E173" s="30"/>
      <c r="F173" s="29"/>
    </row>
    <row r="174" spans="1:6" s="14" customFormat="1" x14ac:dyDescent="0.2">
      <c r="A174" s="15" t="s">
        <v>90</v>
      </c>
      <c r="B174" s="30"/>
      <c r="C174" s="28"/>
      <c r="D174" s="29"/>
      <c r="E174" s="30"/>
      <c r="F174" s="29"/>
    </row>
    <row r="175" spans="1:6" s="14" customFormat="1" ht="24" x14ac:dyDescent="0.2">
      <c r="A175" s="15"/>
      <c r="B175" s="28" t="s">
        <v>173</v>
      </c>
      <c r="C175" s="28" t="s">
        <v>91</v>
      </c>
      <c r="D175" s="29">
        <f>0.5*1000</f>
        <v>500</v>
      </c>
      <c r="E175" s="30"/>
      <c r="F175" s="29"/>
    </row>
    <row r="176" spans="1:6" s="14" customFormat="1" ht="12" customHeight="1" x14ac:dyDescent="0.2">
      <c r="A176" s="15"/>
      <c r="B176" s="30" t="s">
        <v>19</v>
      </c>
      <c r="C176" s="28" t="s">
        <v>82</v>
      </c>
      <c r="D176" s="29">
        <f>0.5*1000</f>
        <v>500</v>
      </c>
      <c r="E176" s="30"/>
      <c r="F176" s="29"/>
    </row>
    <row r="177" spans="1:6" s="14" customFormat="1" x14ac:dyDescent="0.2">
      <c r="A177" s="15"/>
      <c r="B177" s="28" t="s">
        <v>13</v>
      </c>
      <c r="C177" s="28" t="s">
        <v>89</v>
      </c>
      <c r="D177" s="29">
        <v>1000</v>
      </c>
      <c r="E177" s="30"/>
      <c r="F177" s="29"/>
    </row>
    <row r="178" spans="1:6" s="14" customFormat="1" ht="12" customHeight="1" x14ac:dyDescent="0.2">
      <c r="A178" s="15"/>
      <c r="B178" s="28" t="s">
        <v>13</v>
      </c>
      <c r="C178" s="28" t="s">
        <v>92</v>
      </c>
      <c r="D178" s="29">
        <f>0.4*1000</f>
        <v>400</v>
      </c>
      <c r="E178" s="30"/>
      <c r="F178" s="29"/>
    </row>
    <row r="179" spans="1:6" s="14" customFormat="1" ht="24" customHeight="1" x14ac:dyDescent="0.2">
      <c r="A179" s="30"/>
      <c r="B179" s="28" t="s">
        <v>13</v>
      </c>
      <c r="C179" s="28" t="s">
        <v>191</v>
      </c>
      <c r="D179" s="29">
        <f>0.75*1000</f>
        <v>750</v>
      </c>
      <c r="E179" s="30"/>
      <c r="F179" s="29"/>
    </row>
    <row r="180" spans="1:6" s="14" customFormat="1" x14ac:dyDescent="0.2">
      <c r="A180" s="30"/>
      <c r="B180" s="28"/>
      <c r="C180" s="20" t="s">
        <v>23</v>
      </c>
      <c r="D180" s="31">
        <f>SUM(D175:D179)</f>
        <v>3150</v>
      </c>
      <c r="E180" s="30"/>
      <c r="F180" s="29"/>
    </row>
    <row r="181" spans="1:6" s="14" customFormat="1" x14ac:dyDescent="0.2">
      <c r="A181" s="15"/>
      <c r="B181" s="28"/>
      <c r="C181" s="20"/>
      <c r="D181" s="29"/>
      <c r="E181" s="30"/>
      <c r="F181" s="29"/>
    </row>
    <row r="182" spans="1:6" s="14" customFormat="1" x14ac:dyDescent="0.2">
      <c r="A182" s="15" t="s">
        <v>49</v>
      </c>
      <c r="B182" s="21"/>
      <c r="C182" s="28"/>
      <c r="D182" s="29"/>
      <c r="E182" s="30"/>
      <c r="F182" s="29"/>
    </row>
    <row r="183" spans="1:6" s="14" customFormat="1" ht="24" customHeight="1" x14ac:dyDescent="0.2">
      <c r="A183" s="30"/>
      <c r="B183" s="28" t="s">
        <v>43</v>
      </c>
      <c r="C183" s="28" t="s">
        <v>174</v>
      </c>
      <c r="D183" s="29">
        <f>0.8*1000</f>
        <v>800</v>
      </c>
      <c r="E183" s="30"/>
      <c r="F183" s="29"/>
    </row>
    <row r="184" spans="1:6" s="14" customFormat="1" ht="12" customHeight="1" x14ac:dyDescent="0.2">
      <c r="A184" s="30"/>
      <c r="B184" s="28" t="s">
        <v>33</v>
      </c>
      <c r="C184" s="28" t="s">
        <v>93</v>
      </c>
      <c r="D184" s="29">
        <f>0.3*1000</f>
        <v>300</v>
      </c>
      <c r="E184" s="30"/>
      <c r="F184" s="29"/>
    </row>
    <row r="185" spans="1:6" s="14" customFormat="1" ht="24" x14ac:dyDescent="0.2">
      <c r="A185" s="30"/>
      <c r="B185" s="28" t="s">
        <v>40</v>
      </c>
      <c r="C185" s="28" t="s">
        <v>175</v>
      </c>
      <c r="D185" s="29">
        <f>0.5*1000</f>
        <v>500</v>
      </c>
      <c r="E185" s="30"/>
      <c r="F185" s="29"/>
    </row>
    <row r="186" spans="1:6" s="14" customFormat="1" ht="48" x14ac:dyDescent="0.2">
      <c r="A186" s="30"/>
      <c r="B186" s="28" t="s">
        <v>4</v>
      </c>
      <c r="C186" s="28" t="s">
        <v>176</v>
      </c>
      <c r="D186" s="29">
        <f>0.9*1000</f>
        <v>900</v>
      </c>
      <c r="E186" s="30"/>
      <c r="F186" s="29"/>
    </row>
    <row r="187" spans="1:6" s="14" customFormat="1" x14ac:dyDescent="0.2">
      <c r="A187" s="30"/>
      <c r="B187" s="28" t="s">
        <v>81</v>
      </c>
      <c r="C187" s="28" t="s">
        <v>94</v>
      </c>
      <c r="D187" s="27"/>
      <c r="E187" s="30"/>
      <c r="F187" s="29">
        <f>0.65*1000</f>
        <v>650</v>
      </c>
    </row>
    <row r="188" spans="1:6" s="14" customFormat="1" ht="24" x14ac:dyDescent="0.2">
      <c r="A188" s="30"/>
      <c r="B188" s="28" t="s">
        <v>5</v>
      </c>
      <c r="C188" s="28" t="s">
        <v>177</v>
      </c>
      <c r="D188" s="29">
        <f>0.2*1000</f>
        <v>200</v>
      </c>
      <c r="E188" s="30"/>
      <c r="F188" s="29"/>
    </row>
    <row r="189" spans="1:6" s="14" customFormat="1" x14ac:dyDescent="0.2">
      <c r="A189" s="30"/>
      <c r="B189" s="28" t="s">
        <v>10</v>
      </c>
      <c r="C189" s="28" t="s">
        <v>42</v>
      </c>
      <c r="D189" s="29">
        <f>0.7*1000</f>
        <v>700</v>
      </c>
      <c r="E189" s="30"/>
      <c r="F189" s="29"/>
    </row>
    <row r="190" spans="1:6" s="14" customFormat="1" ht="12" customHeight="1" x14ac:dyDescent="0.2">
      <c r="A190" s="30"/>
      <c r="B190" s="28" t="s">
        <v>8</v>
      </c>
      <c r="C190" s="28" t="s">
        <v>84</v>
      </c>
      <c r="D190" s="29">
        <f>0.4*1000</f>
        <v>400</v>
      </c>
      <c r="E190" s="30"/>
      <c r="F190" s="29"/>
    </row>
    <row r="191" spans="1:6" s="14" customFormat="1" x14ac:dyDescent="0.2">
      <c r="A191" s="30"/>
      <c r="B191" s="28" t="s">
        <v>24</v>
      </c>
      <c r="C191" s="28" t="s">
        <v>95</v>
      </c>
      <c r="D191" s="29">
        <f>0.3*1000</f>
        <v>300</v>
      </c>
      <c r="E191" s="30"/>
      <c r="F191" s="29"/>
    </row>
    <row r="192" spans="1:6" s="14" customFormat="1" ht="24" x14ac:dyDescent="0.2">
      <c r="A192" s="30"/>
      <c r="B192" s="28" t="s">
        <v>188</v>
      </c>
      <c r="C192" s="28" t="s">
        <v>192</v>
      </c>
      <c r="D192" s="27"/>
      <c r="E192" s="30"/>
      <c r="F192" s="29">
        <f>2*1000</f>
        <v>2000</v>
      </c>
    </row>
    <row r="193" spans="1:6" s="14" customFormat="1" x14ac:dyDescent="0.2">
      <c r="A193" s="30"/>
      <c r="B193" s="28" t="s">
        <v>13</v>
      </c>
      <c r="C193" s="28" t="s">
        <v>96</v>
      </c>
      <c r="D193" s="29">
        <f>1*1000</f>
        <v>1000</v>
      </c>
      <c r="E193" s="30"/>
      <c r="F193" s="29"/>
    </row>
    <row r="194" spans="1:6" s="14" customFormat="1" ht="12" customHeight="1" x14ac:dyDescent="0.2">
      <c r="A194" s="30"/>
      <c r="B194" s="28" t="s">
        <v>13</v>
      </c>
      <c r="C194" s="28" t="s">
        <v>97</v>
      </c>
      <c r="D194" s="29">
        <f>0.15*1000</f>
        <v>150</v>
      </c>
      <c r="E194" s="30"/>
      <c r="F194" s="29"/>
    </row>
    <row r="195" spans="1:6" s="14" customFormat="1" ht="24" x14ac:dyDescent="0.2">
      <c r="A195" s="30"/>
      <c r="B195" s="28" t="s">
        <v>13</v>
      </c>
      <c r="C195" s="28" t="s">
        <v>178</v>
      </c>
      <c r="D195" s="29">
        <f>0.5*1000</f>
        <v>500</v>
      </c>
      <c r="E195" s="30"/>
      <c r="F195" s="29"/>
    </row>
    <row r="196" spans="1:6" s="14" customFormat="1" ht="23.25" customHeight="1" x14ac:dyDescent="0.2">
      <c r="A196" s="30"/>
      <c r="B196" s="28" t="s">
        <v>13</v>
      </c>
      <c r="C196" s="28" t="s">
        <v>179</v>
      </c>
      <c r="D196" s="29">
        <f>1.5*1000</f>
        <v>1500</v>
      </c>
      <c r="E196" s="30"/>
      <c r="F196" s="29"/>
    </row>
    <row r="197" spans="1:6" s="14" customFormat="1" x14ac:dyDescent="0.2">
      <c r="A197" s="30"/>
      <c r="B197" s="28"/>
      <c r="C197" s="20" t="s">
        <v>23</v>
      </c>
      <c r="D197" s="31">
        <f>SUM(D183:D196)</f>
        <v>7250</v>
      </c>
      <c r="E197" s="30"/>
      <c r="F197" s="31">
        <f>SUM(F183:F196)</f>
        <v>2650</v>
      </c>
    </row>
    <row r="198" spans="1:6" s="14" customFormat="1" x14ac:dyDescent="0.2">
      <c r="A198" s="30"/>
      <c r="B198" s="28"/>
      <c r="C198" s="20"/>
      <c r="D198" s="12"/>
      <c r="E198" s="30"/>
      <c r="F198" s="12"/>
    </row>
    <row r="199" spans="1:6" s="14" customFormat="1" x14ac:dyDescent="0.2">
      <c r="A199" s="15" t="s">
        <v>98</v>
      </c>
      <c r="B199" s="28"/>
      <c r="C199" s="20"/>
      <c r="D199" s="12"/>
      <c r="E199" s="30"/>
      <c r="F199" s="12"/>
    </row>
    <row r="200" spans="1:6" s="14" customFormat="1" x14ac:dyDescent="0.2">
      <c r="A200" s="30"/>
      <c r="B200" s="28" t="s">
        <v>13</v>
      </c>
      <c r="C200" s="28" t="s">
        <v>87</v>
      </c>
      <c r="D200" s="12">
        <f>0.23*1000</f>
        <v>230</v>
      </c>
      <c r="E200" s="30"/>
      <c r="F200" s="12"/>
    </row>
    <row r="201" spans="1:6" s="14" customFormat="1" x14ac:dyDescent="0.2">
      <c r="A201" s="30"/>
      <c r="B201" s="28"/>
      <c r="C201" s="20" t="s">
        <v>23</v>
      </c>
      <c r="D201" s="31">
        <f>SUM(D200:D200)</f>
        <v>230</v>
      </c>
      <c r="E201" s="30"/>
      <c r="F201" s="12"/>
    </row>
    <row r="202" spans="1:6" s="14" customFormat="1" x14ac:dyDescent="0.2">
      <c r="A202" s="30"/>
      <c r="B202" s="28"/>
      <c r="C202" s="20"/>
      <c r="D202" s="12"/>
      <c r="E202" s="30"/>
      <c r="F202" s="12"/>
    </row>
    <row r="203" spans="1:6" s="14" customFormat="1" x14ac:dyDescent="0.2">
      <c r="A203" s="15" t="s">
        <v>99</v>
      </c>
      <c r="B203" s="28"/>
      <c r="C203" s="20"/>
      <c r="D203" s="29"/>
      <c r="E203" s="30"/>
      <c r="F203" s="29"/>
    </row>
    <row r="204" spans="1:6" s="14" customFormat="1" ht="35.25" customHeight="1" x14ac:dyDescent="0.2">
      <c r="A204" s="30"/>
      <c r="B204" s="28" t="s">
        <v>13</v>
      </c>
      <c r="C204" s="28" t="s">
        <v>180</v>
      </c>
      <c r="D204" s="29">
        <f>6.347519*1000</f>
        <v>6347.5190000000002</v>
      </c>
      <c r="E204" s="30"/>
      <c r="F204" s="29"/>
    </row>
    <row r="205" spans="1:6" s="14" customFormat="1" x14ac:dyDescent="0.2">
      <c r="A205" s="30"/>
      <c r="B205" s="28"/>
      <c r="C205" s="20" t="s">
        <v>23</v>
      </c>
      <c r="D205" s="31">
        <f>SUM(D204:D204)</f>
        <v>6347.5190000000002</v>
      </c>
      <c r="E205" s="30"/>
      <c r="F205" s="29"/>
    </row>
    <row r="206" spans="1:6" s="14" customFormat="1" x14ac:dyDescent="0.2">
      <c r="A206" s="30"/>
      <c r="B206" s="28"/>
      <c r="C206" s="20"/>
      <c r="D206" s="12"/>
      <c r="E206" s="30"/>
      <c r="F206" s="29"/>
    </row>
    <row r="207" spans="1:6" s="14" customFormat="1" x14ac:dyDescent="0.2">
      <c r="A207" s="15" t="s">
        <v>100</v>
      </c>
      <c r="B207" s="28"/>
      <c r="C207" s="20"/>
      <c r="D207" s="29"/>
      <c r="E207" s="30"/>
      <c r="F207" s="29"/>
    </row>
    <row r="208" spans="1:6" s="14" customFormat="1" x14ac:dyDescent="0.2">
      <c r="A208" s="30"/>
      <c r="B208" s="28" t="s">
        <v>10</v>
      </c>
      <c r="C208" s="28" t="s">
        <v>42</v>
      </c>
      <c r="D208" s="29">
        <f>1.7*1000</f>
        <v>1700</v>
      </c>
      <c r="E208" s="30"/>
      <c r="F208" s="29"/>
    </row>
    <row r="209" spans="1:6" s="14" customFormat="1" x14ac:dyDescent="0.2">
      <c r="A209" s="30"/>
      <c r="B209" s="28"/>
      <c r="C209" s="20" t="s">
        <v>23</v>
      </c>
      <c r="D209" s="31">
        <f>SUM(D208:D208)</f>
        <v>1700</v>
      </c>
      <c r="E209" s="30"/>
      <c r="F209" s="29"/>
    </row>
    <row r="210" spans="1:6" s="14" customFormat="1" x14ac:dyDescent="0.2">
      <c r="A210" s="30"/>
      <c r="B210" s="28"/>
      <c r="C210" s="28"/>
      <c r="D210" s="12"/>
      <c r="E210" s="30"/>
      <c r="F210" s="12"/>
    </row>
    <row r="211" spans="1:6" s="14" customFormat="1" x14ac:dyDescent="0.2">
      <c r="A211" s="15" t="s">
        <v>44</v>
      </c>
      <c r="B211" s="23"/>
      <c r="C211" s="23"/>
      <c r="D211" s="24"/>
      <c r="E211" s="15"/>
      <c r="F211" s="24"/>
    </row>
    <row r="212" spans="1:6" s="14" customFormat="1" ht="24" x14ac:dyDescent="0.2">
      <c r="A212" s="15"/>
      <c r="B212" s="28" t="s">
        <v>173</v>
      </c>
      <c r="C212" s="28" t="s">
        <v>48</v>
      </c>
      <c r="D212" s="29">
        <f>0.17*1000</f>
        <v>170</v>
      </c>
      <c r="E212" s="15"/>
      <c r="F212" s="24"/>
    </row>
    <row r="213" spans="1:6" s="14" customFormat="1" ht="24" x14ac:dyDescent="0.2">
      <c r="A213" s="30"/>
      <c r="B213" s="28" t="s">
        <v>4</v>
      </c>
      <c r="C213" s="28" t="s">
        <v>166</v>
      </c>
      <c r="D213" s="29">
        <f>0.3*1000</f>
        <v>300</v>
      </c>
      <c r="E213" s="30"/>
      <c r="F213" s="29"/>
    </row>
    <row r="214" spans="1:6" s="14" customFormat="1" ht="24" x14ac:dyDescent="0.2">
      <c r="A214" s="30"/>
      <c r="B214" s="28" t="s">
        <v>13</v>
      </c>
      <c r="C214" s="28" t="s">
        <v>169</v>
      </c>
      <c r="D214" s="12">
        <f>0.5*1000</f>
        <v>500</v>
      </c>
      <c r="E214" s="30"/>
      <c r="F214" s="12"/>
    </row>
    <row r="215" spans="1:6" s="14" customFormat="1" x14ac:dyDescent="0.2">
      <c r="A215" s="30"/>
      <c r="B215" s="28"/>
      <c r="C215" s="20" t="s">
        <v>23</v>
      </c>
      <c r="D215" s="31">
        <f>SUM(D212:D214)</f>
        <v>970</v>
      </c>
      <c r="E215" s="30"/>
      <c r="F215" s="12"/>
    </row>
    <row r="216" spans="1:6" s="14" customFormat="1" x14ac:dyDescent="0.2">
      <c r="A216" s="30"/>
      <c r="B216" s="28"/>
      <c r="C216" s="20"/>
      <c r="D216" s="29"/>
      <c r="E216" s="30"/>
      <c r="F216" s="29"/>
    </row>
    <row r="217" spans="1:6" s="14" customFormat="1" ht="13.5" x14ac:dyDescent="0.2">
      <c r="A217" s="15" t="s">
        <v>101</v>
      </c>
      <c r="B217" s="30"/>
      <c r="C217" s="28"/>
      <c r="D217" s="18">
        <f>D224+D228+D236+D242+D232+D246+D250</f>
        <v>22149.183000000001</v>
      </c>
      <c r="E217" s="18"/>
      <c r="F217" s="18">
        <f>F224+F228+F236+F242+F232+F246+F250</f>
        <v>13087.155999999999</v>
      </c>
    </row>
    <row r="218" spans="1:6" s="14" customFormat="1" x14ac:dyDescent="0.2">
      <c r="A218" s="22" t="s">
        <v>11</v>
      </c>
      <c r="B218" s="38"/>
      <c r="C218" s="39"/>
      <c r="D218" s="29"/>
      <c r="E218" s="38"/>
      <c r="F218" s="29"/>
    </row>
    <row r="219" spans="1:6" s="14" customFormat="1" ht="24" x14ac:dyDescent="0.2">
      <c r="A219" s="22"/>
      <c r="B219" s="28" t="s">
        <v>173</v>
      </c>
      <c r="C219" s="39" t="s">
        <v>102</v>
      </c>
      <c r="D219" s="29">
        <f>0.183488*1000</f>
        <v>183.488</v>
      </c>
      <c r="E219" s="38"/>
      <c r="F219" s="29"/>
    </row>
    <row r="220" spans="1:6" s="14" customFormat="1" ht="12" customHeight="1" x14ac:dyDescent="0.2">
      <c r="A220" s="22"/>
      <c r="B220" s="38" t="s">
        <v>4</v>
      </c>
      <c r="C220" s="39" t="s">
        <v>103</v>
      </c>
      <c r="D220" s="29">
        <f>3.220185*1000</f>
        <v>3220.1849999999999</v>
      </c>
      <c r="E220" s="38"/>
      <c r="F220" s="35"/>
    </row>
    <row r="221" spans="1:6" s="14" customFormat="1" x14ac:dyDescent="0.2">
      <c r="A221" s="22"/>
      <c r="B221" s="38" t="s">
        <v>201</v>
      </c>
      <c r="C221" s="39" t="s">
        <v>104</v>
      </c>
      <c r="D221" s="29"/>
      <c r="E221" s="38"/>
      <c r="F221" s="35">
        <f>3*1000</f>
        <v>3000</v>
      </c>
    </row>
    <row r="222" spans="1:6" s="14" customFormat="1" x14ac:dyDescent="0.2">
      <c r="A222" s="22"/>
      <c r="B222" s="38" t="s">
        <v>13</v>
      </c>
      <c r="C222" s="39" t="s">
        <v>105</v>
      </c>
      <c r="D222" s="29">
        <f>0.444*1000</f>
        <v>444</v>
      </c>
      <c r="E222" s="38"/>
      <c r="F222" s="35"/>
    </row>
    <row r="223" spans="1:6" s="14" customFormat="1" ht="24" x14ac:dyDescent="0.2">
      <c r="A223" s="22"/>
      <c r="B223" s="38" t="s">
        <v>13</v>
      </c>
      <c r="C223" s="39" t="s">
        <v>132</v>
      </c>
      <c r="D223" s="29">
        <f>0.069*1000</f>
        <v>69</v>
      </c>
      <c r="E223" s="38"/>
      <c r="F223" s="35"/>
    </row>
    <row r="224" spans="1:6" s="14" customFormat="1" x14ac:dyDescent="0.2">
      <c r="A224" s="30"/>
      <c r="B224" s="39"/>
      <c r="C224" s="20" t="s">
        <v>23</v>
      </c>
      <c r="D224" s="31">
        <f>SUM(D219:D223)</f>
        <v>3916.6729999999998</v>
      </c>
      <c r="E224" s="38"/>
      <c r="F224" s="31">
        <f>SUM(F219:F223)</f>
        <v>3000</v>
      </c>
    </row>
    <row r="225" spans="1:6" s="14" customFormat="1" x14ac:dyDescent="0.2">
      <c r="A225" s="30"/>
      <c r="B225" s="39"/>
      <c r="C225" s="28"/>
      <c r="D225" s="18"/>
      <c r="E225" s="18"/>
      <c r="F225" s="18"/>
    </row>
    <row r="226" spans="1:6" s="14" customFormat="1" x14ac:dyDescent="0.2">
      <c r="A226" s="22" t="s">
        <v>45</v>
      </c>
      <c r="B226" s="38"/>
      <c r="C226" s="39"/>
      <c r="D226" s="29"/>
      <c r="E226" s="38"/>
      <c r="F226" s="29"/>
    </row>
    <row r="227" spans="1:6" s="14" customFormat="1" ht="12" customHeight="1" x14ac:dyDescent="0.2">
      <c r="A227" s="22"/>
      <c r="B227" s="38" t="s">
        <v>13</v>
      </c>
      <c r="C227" s="39" t="s">
        <v>60</v>
      </c>
      <c r="D227" s="29">
        <f>14.99751*1000</f>
        <v>14997.51</v>
      </c>
      <c r="E227" s="38"/>
      <c r="F227" s="35"/>
    </row>
    <row r="228" spans="1:6" s="14" customFormat="1" x14ac:dyDescent="0.2">
      <c r="A228" s="30"/>
      <c r="B228" s="39"/>
      <c r="C228" s="20" t="s">
        <v>23</v>
      </c>
      <c r="D228" s="31">
        <f>SUM(D226:D227)</f>
        <v>14997.51</v>
      </c>
      <c r="E228" s="38"/>
      <c r="F228" s="35"/>
    </row>
    <row r="229" spans="1:6" s="14" customFormat="1" x14ac:dyDescent="0.2">
      <c r="A229" s="30"/>
      <c r="B229" s="39"/>
      <c r="C229" s="20"/>
      <c r="D229" s="12"/>
      <c r="E229" s="38"/>
      <c r="F229" s="35"/>
    </row>
    <row r="230" spans="1:6" s="14" customFormat="1" x14ac:dyDescent="0.2">
      <c r="A230" s="22" t="s">
        <v>106</v>
      </c>
      <c r="B230" s="38"/>
      <c r="C230" s="39"/>
      <c r="D230" s="29"/>
      <c r="E230" s="38"/>
      <c r="F230" s="29"/>
    </row>
    <row r="231" spans="1:6" s="14" customFormat="1" x14ac:dyDescent="0.2">
      <c r="A231" s="22"/>
      <c r="B231" s="38" t="s">
        <v>13</v>
      </c>
      <c r="C231" s="39" t="s">
        <v>105</v>
      </c>
      <c r="D231" s="29">
        <f>0.185*1000</f>
        <v>185</v>
      </c>
      <c r="E231" s="38"/>
      <c r="F231" s="35"/>
    </row>
    <row r="232" spans="1:6" s="14" customFormat="1" x14ac:dyDescent="0.2">
      <c r="A232" s="30"/>
      <c r="B232" s="39"/>
      <c r="C232" s="20" t="s">
        <v>23</v>
      </c>
      <c r="D232" s="31">
        <f>SUM(D230:D231)</f>
        <v>185</v>
      </c>
      <c r="E232" s="38"/>
      <c r="F232" s="35"/>
    </row>
    <row r="233" spans="1:6" s="14" customFormat="1" x14ac:dyDescent="0.2">
      <c r="A233" s="30"/>
      <c r="B233" s="39"/>
      <c r="C233" s="20"/>
      <c r="D233" s="12"/>
      <c r="E233" s="38"/>
      <c r="F233" s="35"/>
    </row>
    <row r="234" spans="1:6" s="14" customFormat="1" x14ac:dyDescent="0.2">
      <c r="A234" s="22" t="s">
        <v>107</v>
      </c>
      <c r="B234" s="38"/>
      <c r="C234" s="39"/>
      <c r="D234" s="29"/>
      <c r="E234" s="38"/>
      <c r="F234" s="29"/>
    </row>
    <row r="235" spans="1:6" s="14" customFormat="1" ht="12.75" customHeight="1" x14ac:dyDescent="0.2">
      <c r="A235" s="22"/>
      <c r="B235" s="38" t="s">
        <v>51</v>
      </c>
      <c r="C235" s="39" t="s">
        <v>181</v>
      </c>
      <c r="D235" s="29"/>
      <c r="E235" s="38"/>
      <c r="F235" s="35">
        <f>4.587156*1000</f>
        <v>4587.1559999999999</v>
      </c>
    </row>
    <row r="236" spans="1:6" s="14" customFormat="1" x14ac:dyDescent="0.2">
      <c r="A236" s="30"/>
      <c r="B236" s="39"/>
      <c r="C236" s="20" t="s">
        <v>23</v>
      </c>
      <c r="D236" s="29"/>
      <c r="E236" s="38"/>
      <c r="F236" s="31">
        <f>SUM(F234:F235)</f>
        <v>4587.1559999999999</v>
      </c>
    </row>
    <row r="237" spans="1:6" s="14" customFormat="1" x14ac:dyDescent="0.2">
      <c r="A237" s="30"/>
      <c r="B237" s="39"/>
      <c r="C237" s="20"/>
      <c r="D237" s="12"/>
      <c r="E237" s="38"/>
      <c r="F237" s="35"/>
    </row>
    <row r="238" spans="1:6" s="14" customFormat="1" x14ac:dyDescent="0.2">
      <c r="A238" s="22" t="s">
        <v>108</v>
      </c>
      <c r="B238" s="38"/>
      <c r="C238" s="39"/>
      <c r="D238" s="29"/>
      <c r="E238" s="38"/>
      <c r="F238" s="29"/>
    </row>
    <row r="239" spans="1:6" s="14" customFormat="1" ht="13.5" x14ac:dyDescent="0.2">
      <c r="A239" s="22"/>
      <c r="B239" s="38" t="s">
        <v>13</v>
      </c>
      <c r="C239" s="39" t="s">
        <v>109</v>
      </c>
      <c r="D239" s="29">
        <f>0.5*1000</f>
        <v>500</v>
      </c>
      <c r="E239" s="38"/>
      <c r="F239" s="35"/>
    </row>
    <row r="240" spans="1:6" s="14" customFormat="1" ht="37.5" x14ac:dyDescent="0.2">
      <c r="A240" s="22"/>
      <c r="B240" s="38" t="s">
        <v>13</v>
      </c>
      <c r="C240" s="39" t="s">
        <v>182</v>
      </c>
      <c r="D240" s="29">
        <f>2*1000</f>
        <v>2000</v>
      </c>
      <c r="E240" s="38"/>
      <c r="F240" s="35"/>
    </row>
    <row r="241" spans="1:6" s="14" customFormat="1" ht="24.75" customHeight="1" x14ac:dyDescent="0.2">
      <c r="A241" s="22"/>
      <c r="B241" s="38" t="s">
        <v>13</v>
      </c>
      <c r="C241" s="39" t="s">
        <v>183</v>
      </c>
      <c r="D241" s="29">
        <f>0.55*1000</f>
        <v>550</v>
      </c>
      <c r="E241" s="38"/>
      <c r="F241" s="35"/>
    </row>
    <row r="242" spans="1:6" s="14" customFormat="1" x14ac:dyDescent="0.2">
      <c r="A242" s="30"/>
      <c r="B242" s="39"/>
      <c r="C242" s="20" t="s">
        <v>23</v>
      </c>
      <c r="D242" s="31">
        <f>SUM(D238:D241)</f>
        <v>3050</v>
      </c>
      <c r="E242" s="38"/>
      <c r="F242" s="35"/>
    </row>
    <row r="243" spans="1:6" s="14" customFormat="1" x14ac:dyDescent="0.2">
      <c r="A243" s="30"/>
      <c r="B243" s="39"/>
      <c r="C243" s="20"/>
      <c r="D243" s="29"/>
      <c r="E243" s="38"/>
      <c r="F243" s="29"/>
    </row>
    <row r="244" spans="1:6" s="14" customFormat="1" x14ac:dyDescent="0.2">
      <c r="A244" s="15" t="s">
        <v>110</v>
      </c>
      <c r="B244" s="30"/>
      <c r="C244" s="28"/>
      <c r="D244" s="29"/>
      <c r="E244" s="30"/>
      <c r="F244" s="29"/>
    </row>
    <row r="245" spans="1:6" s="14" customFormat="1" x14ac:dyDescent="0.2">
      <c r="A245" s="15"/>
      <c r="B245" s="30" t="s">
        <v>3</v>
      </c>
      <c r="C245" s="28" t="s">
        <v>57</v>
      </c>
      <c r="D245" s="29"/>
      <c r="E245" s="30"/>
      <c r="F245" s="29">
        <f>0.5*1000</f>
        <v>500</v>
      </c>
    </row>
    <row r="246" spans="1:6" s="14" customFormat="1" x14ac:dyDescent="0.2">
      <c r="A246" s="30"/>
      <c r="B246" s="28"/>
      <c r="C246" s="20" t="s">
        <v>23</v>
      </c>
      <c r="D246" s="35"/>
      <c r="E246" s="30"/>
      <c r="F246" s="31">
        <f>SUM(F245:F245)</f>
        <v>500</v>
      </c>
    </row>
    <row r="247" spans="1:6" s="14" customFormat="1" x14ac:dyDescent="0.2">
      <c r="A247" s="30"/>
      <c r="B247" s="28"/>
      <c r="C247" s="20"/>
      <c r="D247" s="35"/>
      <c r="E247" s="30"/>
      <c r="F247" s="12"/>
    </row>
    <row r="248" spans="1:6" s="14" customFormat="1" x14ac:dyDescent="0.2">
      <c r="A248" s="15" t="s">
        <v>17</v>
      </c>
      <c r="B248" s="30"/>
      <c r="C248" s="28"/>
      <c r="D248" s="29"/>
      <c r="E248" s="30"/>
      <c r="F248" s="29"/>
    </row>
    <row r="249" spans="1:6" s="14" customFormat="1" x14ac:dyDescent="0.2">
      <c r="A249" s="15"/>
      <c r="B249" s="30" t="s">
        <v>12</v>
      </c>
      <c r="C249" s="28" t="s">
        <v>53</v>
      </c>
      <c r="D249" s="29"/>
      <c r="E249" s="30"/>
      <c r="F249" s="29">
        <v>5000</v>
      </c>
    </row>
    <row r="250" spans="1:6" s="14" customFormat="1" x14ac:dyDescent="0.2">
      <c r="A250" s="30"/>
      <c r="B250" s="28"/>
      <c r="C250" s="20" t="s">
        <v>23</v>
      </c>
      <c r="D250" s="35"/>
      <c r="E250" s="30"/>
      <c r="F250" s="31">
        <f>SUM(F249:F249)</f>
        <v>5000</v>
      </c>
    </row>
    <row r="251" spans="1:6" s="14" customFormat="1" x14ac:dyDescent="0.2">
      <c r="A251" s="30"/>
      <c r="B251" s="28"/>
      <c r="C251" s="20"/>
      <c r="D251" s="35"/>
      <c r="E251" s="30"/>
      <c r="F251" s="12"/>
    </row>
    <row r="252" spans="1:6" s="14" customFormat="1" x14ac:dyDescent="0.2">
      <c r="A252" s="15" t="s">
        <v>30</v>
      </c>
      <c r="B252" s="30"/>
      <c r="C252" s="20"/>
      <c r="D252" s="18">
        <f>D255+D259</f>
        <v>310</v>
      </c>
      <c r="E252" s="30"/>
      <c r="F252" s="18">
        <f>F255+F259</f>
        <v>24480</v>
      </c>
    </row>
    <row r="253" spans="1:6" s="14" customFormat="1" x14ac:dyDescent="0.2">
      <c r="A253" s="15" t="s">
        <v>111</v>
      </c>
      <c r="B253" s="30"/>
      <c r="C253" s="20"/>
      <c r="D253" s="29"/>
      <c r="E253" s="30"/>
      <c r="F253" s="29"/>
    </row>
    <row r="254" spans="1:6" s="14" customFormat="1" x14ac:dyDescent="0.2">
      <c r="A254" s="15"/>
      <c r="B254" s="30" t="s">
        <v>10</v>
      </c>
      <c r="C254" s="34" t="s">
        <v>112</v>
      </c>
      <c r="D254" s="29"/>
      <c r="E254" s="30"/>
      <c r="F254" s="29">
        <f>24.48*1000</f>
        <v>24480</v>
      </c>
    </row>
    <row r="255" spans="1:6" s="14" customFormat="1" x14ac:dyDescent="0.2">
      <c r="A255" s="15"/>
      <c r="B255" s="30"/>
      <c r="C255" s="20" t="s">
        <v>23</v>
      </c>
      <c r="D255" s="29"/>
      <c r="E255" s="30"/>
      <c r="F255" s="31">
        <f>SUM(F253:F254)</f>
        <v>24480</v>
      </c>
    </row>
    <row r="256" spans="1:6" s="14" customFormat="1" x14ac:dyDescent="0.2">
      <c r="A256" s="15"/>
      <c r="B256" s="30"/>
      <c r="C256" s="34"/>
      <c r="D256" s="12"/>
      <c r="E256" s="30"/>
      <c r="F256" s="29"/>
    </row>
    <row r="257" spans="1:6" s="14" customFormat="1" x14ac:dyDescent="0.2">
      <c r="A257" s="15" t="s">
        <v>113</v>
      </c>
      <c r="B257" s="30"/>
      <c r="C257" s="34"/>
      <c r="D257" s="29"/>
      <c r="E257" s="30"/>
      <c r="F257" s="29"/>
    </row>
    <row r="258" spans="1:6" s="14" customFormat="1" x14ac:dyDescent="0.2">
      <c r="A258" s="15"/>
      <c r="B258" s="28" t="s">
        <v>7</v>
      </c>
      <c r="C258" s="34" t="s">
        <v>114</v>
      </c>
      <c r="D258" s="29">
        <f>0.31*1000</f>
        <v>310</v>
      </c>
      <c r="E258" s="30"/>
      <c r="F258" s="29"/>
    </row>
    <row r="259" spans="1:6" s="14" customFormat="1" x14ac:dyDescent="0.2">
      <c r="A259" s="15"/>
      <c r="B259" s="30"/>
      <c r="C259" s="20" t="s">
        <v>23</v>
      </c>
      <c r="D259" s="41">
        <f>SUM(D258:D258)</f>
        <v>310</v>
      </c>
      <c r="E259" s="30"/>
      <c r="F259" s="29"/>
    </row>
    <row r="260" spans="1:6" s="14" customFormat="1" x14ac:dyDescent="0.2">
      <c r="A260" s="30"/>
      <c r="B260" s="30"/>
      <c r="C260" s="20"/>
      <c r="D260" s="29"/>
      <c r="E260" s="30"/>
      <c r="F260" s="29"/>
    </row>
    <row r="261" spans="1:6" s="14" customFormat="1" x14ac:dyDescent="0.2">
      <c r="A261" s="10"/>
      <c r="B261" s="42" t="s">
        <v>9</v>
      </c>
      <c r="C261" s="11"/>
      <c r="D261" s="25">
        <f>SUM(D252,D217,D169,D64,D11)</f>
        <v>123334.484</v>
      </c>
      <c r="E261" s="25"/>
      <c r="F261" s="25">
        <f>SUM(F252,F217,F169,F64,F11)</f>
        <v>182520.125</v>
      </c>
    </row>
    <row r="262" spans="1:6" ht="3.75" customHeight="1" x14ac:dyDescent="0.2"/>
    <row r="263" spans="1:6" s="45" customFormat="1" ht="12" customHeight="1" x14ac:dyDescent="0.25">
      <c r="A263" s="45" t="s">
        <v>195</v>
      </c>
      <c r="B263" s="46"/>
      <c r="C263" s="46"/>
      <c r="D263" s="47"/>
      <c r="E263" s="48"/>
      <c r="F263" s="48"/>
    </row>
    <row r="264" spans="1:6" s="45" customFormat="1" ht="21.75" customHeight="1" x14ac:dyDescent="0.25">
      <c r="A264" s="54" t="s">
        <v>199</v>
      </c>
      <c r="B264" s="54"/>
      <c r="C264" s="54"/>
      <c r="D264" s="54"/>
      <c r="E264" s="54"/>
      <c r="F264" s="54"/>
    </row>
    <row r="265" spans="1:6" s="45" customFormat="1" ht="12" customHeight="1" x14ac:dyDescent="0.25">
      <c r="A265" s="44" t="s">
        <v>196</v>
      </c>
      <c r="B265" s="46"/>
      <c r="C265" s="46"/>
      <c r="D265" s="47"/>
      <c r="E265" s="48"/>
      <c r="F265" s="48"/>
    </row>
    <row r="266" spans="1:6" s="45" customFormat="1" ht="12" customHeight="1" x14ac:dyDescent="0.25">
      <c r="A266" s="44" t="s">
        <v>197</v>
      </c>
      <c r="B266" s="46"/>
      <c r="C266" s="46"/>
      <c r="D266" s="47"/>
      <c r="E266" s="48"/>
      <c r="F266" s="48"/>
    </row>
    <row r="267" spans="1:6" s="45" customFormat="1" ht="11.25" x14ac:dyDescent="0.25">
      <c r="A267" s="44" t="s">
        <v>198</v>
      </c>
      <c r="B267" s="46"/>
      <c r="C267" s="46"/>
      <c r="D267" s="47"/>
      <c r="E267" s="48"/>
      <c r="F267" s="48"/>
    </row>
  </sheetData>
  <mergeCells count="4">
    <mergeCell ref="C9:C10"/>
    <mergeCell ref="D9:F9"/>
    <mergeCell ref="A9:B10"/>
    <mergeCell ref="A264:F264"/>
  </mergeCells>
  <phoneticPr fontId="2" type="noConversion"/>
  <printOptions horizontalCentered="1"/>
  <pageMargins left="0.5" right="0.5" top="0.5" bottom="0.2" header="0.25" footer="0.3"/>
  <pageSetup fitToHeight="0" orientation="portrait" r:id="rId1"/>
  <headerFooter differentFirst="1">
    <oddHeader>&amp;L&amp;"Arial,Regular"&amp;7&amp;K000000CONTINUED</oddHeader>
  </headerFooter>
  <rowBreaks count="5" manualBreakCount="5">
    <brk id="87" max="16383" man="1"/>
    <brk id="125" max="16383" man="1"/>
    <brk id="160" max="16383" man="1"/>
    <brk id="202" max="16383" man="1"/>
    <brk id="251" max="16383" man="1"/>
  </rowBreaks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C90B54C17B4C349AF9CAC9779232DC5" ma:contentTypeVersion="19" ma:contentTypeDescription="Create a new document." ma:contentTypeScope="" ma:versionID="75322bf9c0674fa09f2c5ccc770e54f8">
  <xsd:schema xmlns:xsd="http://www.w3.org/2001/XMLSchema" xmlns:xs="http://www.w3.org/2001/XMLSchema" xmlns:p="http://schemas.microsoft.com/office/2006/metadata/properties" xmlns:ns2="2b4b9d8e-ecb2-49e1-a87e-51dfdfcaee7f" xmlns:ns3="b966b054-3674-4c4f-a2b0-6a3ffbe0790e" xmlns:ns4="c1fdd505-2570-46c2-bd04-3e0f2d874cf5" targetNamespace="http://schemas.microsoft.com/office/2006/metadata/properties" ma:root="true" ma:fieldsID="f5a6c6e1912be9fb55e8301ad9641abc" ns2:_="" ns3:_="" ns4:_="">
    <xsd:import namespace="2b4b9d8e-ecb2-49e1-a87e-51dfdfcaee7f"/>
    <xsd:import namespace="b966b054-3674-4c4f-a2b0-6a3ffbe0790e"/>
    <xsd:import namespace="c1fdd505-2570-46c2-bd04-3e0f2d874cf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Description0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4b9d8e-ecb2-49e1-a87e-51dfdfcaee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internalName="MediaServiceAutoTags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Description0" ma:index="20" nillable="true" ma:displayName="Description" ma:description="short description of the content item" ma:internalName="Description0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115af50e-efb3-4a0e-b425-875ff625e0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66b054-3674-4c4f-a2b0-6a3ffbe0790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fdd505-2570-46c2-bd04-3e0f2d874cf5" elementFormDefault="qualified">
    <xsd:import namespace="http://schemas.microsoft.com/office/2006/documentManagement/types"/>
    <xsd:import namespace="http://schemas.microsoft.com/office/infopath/2007/PartnerControls"/>
    <xsd:element name="TaxCatchAll" ma:index="24" nillable="true" ma:displayName="Taxonomy Catch All Column" ma:hidden="true" ma:list="{c2f26efa-e1a7-4403-a434-fa18bcd8b29e}" ma:internalName="TaxCatchAll" ma:showField="CatchAllData" ma:web="b966b054-3674-4c4f-a2b0-6a3ffbe0790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escription0 xmlns="2b4b9d8e-ecb2-49e1-a87e-51dfdfcaee7f" xsi:nil="true"/>
    <lcf76f155ced4ddcb4097134ff3c332f xmlns="2b4b9d8e-ecb2-49e1-a87e-51dfdfcaee7f">
      <Terms xmlns="http://schemas.microsoft.com/office/infopath/2007/PartnerControls"/>
    </lcf76f155ced4ddcb4097134ff3c332f>
    <TaxCatchAll xmlns="c1fdd505-2570-46c2-bd04-3e0f2d874cf5" xsi:nil="true"/>
  </documentManagement>
</p:properties>
</file>

<file path=customXml/itemProps1.xml><?xml version="1.0" encoding="utf-8"?>
<ds:datastoreItem xmlns:ds="http://schemas.openxmlformats.org/officeDocument/2006/customXml" ds:itemID="{89DA7CD4-5D3B-430E-BF28-0E4321D2E044}"/>
</file>

<file path=customXml/itemProps2.xml><?xml version="1.0" encoding="utf-8"?>
<ds:datastoreItem xmlns:ds="http://schemas.openxmlformats.org/officeDocument/2006/customXml" ds:itemID="{92E39300-B769-4AA5-B377-8D100E53ED97}"/>
</file>

<file path=customXml/itemProps3.xml><?xml version="1.0" encoding="utf-8"?>
<ds:datastoreItem xmlns:ds="http://schemas.openxmlformats.org/officeDocument/2006/customXml" ds:itemID="{E508251E-CE70-4CFA-80CF-965A2159D00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Grants</vt:lpstr>
      <vt:lpstr>Grants!Print_Titles</vt:lpstr>
    </vt:vector>
  </TitlesOfParts>
  <Company>Asian Development Bank</Company>
  <LinksUpToDate>false</LinksUpToDate>
  <SharedDoc>false</SharedDoc>
  <HyperlinkBase>www.adb.org/ar2012</HyperlinkBase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ADB Annual Report 2012: Projects Involving Official Cofinancing</dc:title>
  <dc:subject>ADB Annual Report 2012</dc:subject>
  <dc:creator>Asian Development Bank</dc:creator>
  <cp:keywords>asian development bank, adb, adb annual report 2012, asian development bank annual report 2012, cofinancing, official cofinancing, private sector, nonsovereign</cp:keywords>
  <cp:lastModifiedBy>Amir</cp:lastModifiedBy>
  <cp:lastPrinted>2022-04-04T01:59:32Z</cp:lastPrinted>
  <dcterms:created xsi:type="dcterms:W3CDTF">2013-01-07T02:15:48Z</dcterms:created>
  <dcterms:modified xsi:type="dcterms:W3CDTF">2022-04-05T04:07:16Z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0x0101004C90B54C17B4C349AF9CAC9779232DC5</vt:lpwstr>
  </property>
</Properties>
</file>