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asiandevbank-my.sharepoint.com/personal/gestrada_adb_org/Documents/aa_COVID paper/8_Databaase-April 21/FINAL/"/>
    </mc:Choice>
  </mc:AlternateContent>
  <xr:revisionPtr revIDLastSave="32" documentId="8_{DB7400DC-E940-4933-9668-E52C2570EF14}" xr6:coauthVersionLast="45" xr6:coauthVersionMax="45" xr10:uidLastSave="{54215A35-FD99-4F12-BE54-4FE3CB3B9839}"/>
  <bookViews>
    <workbookView xWindow="-108" yWindow="-108" windowWidth="23256" windowHeight="12576" xr2:uid="{0BC75327-69A5-41F9-8264-8E4F3D9C0F25}"/>
  </bookViews>
  <sheets>
    <sheet name="Index" sheetId="1" r:id="rId1"/>
    <sheet name="BRU" sheetId="52" r:id="rId2"/>
    <sheet name="CAM" sheetId="5" r:id="rId3"/>
    <sheet name="INO" sheetId="40" r:id="rId4"/>
    <sheet name="LAO" sheetId="43" r:id="rId5"/>
    <sheet name="MAL" sheetId="44" r:id="rId6"/>
    <sheet name="MYA" sheetId="45" r:id="rId7"/>
    <sheet name="PHI" sheetId="35" r:id="rId8"/>
    <sheet name="SIN" sheetId="59" r:id="rId9"/>
    <sheet name="THA" sheetId="65" r:id="rId10"/>
    <sheet name="TIM " sheetId="66" r:id="rId11"/>
    <sheet name="VIE" sheetId="70" r:id="rId12"/>
    <sheet name="COO" sheetId="46" r:id="rId13"/>
    <sheet name="FIJ" sheetId="41" r:id="rId14"/>
    <sheet name="FSM" sheetId="54" r:id="rId15"/>
    <sheet name="KIR" sheetId="48" r:id="rId16"/>
    <sheet name="NAU" sheetId="31" r:id="rId17"/>
    <sheet name="NIU" sheetId="8" r:id="rId18"/>
    <sheet name="PAL" sheetId="56" r:id="rId19"/>
    <sheet name="PNG" sheetId="34" r:id="rId20"/>
    <sheet name="RMI" sheetId="55" r:id="rId21"/>
    <sheet name="SAM" sheetId="58" r:id="rId22"/>
    <sheet name="SOL" sheetId="60" r:id="rId23"/>
    <sheet name="TON " sheetId="68" r:id="rId24"/>
    <sheet name="TUV" sheetId="9" r:id="rId25"/>
    <sheet name="VAN" sheetId="10" r:id="rId26"/>
    <sheet name="AFG" sheetId="30" r:id="rId27"/>
    <sheet name="ARM" sheetId="22" r:id="rId28"/>
    <sheet name="AZE" sheetId="23" r:id="rId29"/>
    <sheet name="GEO" sheetId="42" r:id="rId30"/>
    <sheet name="KAZ" sheetId="47" r:id="rId31"/>
    <sheet name="KGZ" sheetId="53" r:id="rId32"/>
    <sheet name="PAK" sheetId="33" r:id="rId33"/>
    <sheet name="TAJ " sheetId="63" r:id="rId34"/>
    <sheet name="TKM" sheetId="67" r:id="rId35"/>
    <sheet name="UZB" sheetId="7" r:id="rId36"/>
    <sheet name="HKG" sheetId="39" r:id="rId37"/>
    <sheet name="KOR" sheetId="38" r:id="rId38"/>
    <sheet name="MON" sheetId="50" r:id="rId39"/>
    <sheet name="PRC" sheetId="21" r:id="rId40"/>
    <sheet name="TAP " sheetId="64" r:id="rId41"/>
    <sheet name="BAN" sheetId="51" r:id="rId42"/>
    <sheet name="BHU" sheetId="6" r:id="rId43"/>
    <sheet name="IND" sheetId="57" r:id="rId44"/>
    <sheet name="MLD" sheetId="49" r:id="rId45"/>
    <sheet name="NEP" sheetId="32" r:id="rId46"/>
    <sheet name="SRI" sheetId="62" r:id="rId47"/>
    <sheet name="AUS" sheetId="3" r:id="rId48"/>
    <sheet name="AUT" sheetId="13" r:id="rId49"/>
    <sheet name="BEL" sheetId="14" r:id="rId50"/>
    <sheet name="CAN" sheetId="2" r:id="rId51"/>
    <sheet name="DEN" sheetId="15" r:id="rId52"/>
    <sheet name="FIN" sheetId="16" r:id="rId53"/>
    <sheet name="FRA" sheetId="17" r:id="rId54"/>
    <sheet name="GER" sheetId="36" r:id="rId55"/>
    <sheet name="IRE" sheetId="18" r:id="rId56"/>
    <sheet name="ITA" sheetId="19" r:id="rId57"/>
    <sheet name="JPN" sheetId="37" r:id="rId58"/>
    <sheet name="LUX" sheetId="24" r:id="rId59"/>
    <sheet name="NET" sheetId="20" r:id="rId60"/>
    <sheet name="NOR" sheetId="25" r:id="rId61"/>
    <sheet name="NZL" sheetId="4" r:id="rId62"/>
    <sheet name="POR" sheetId="26" r:id="rId63"/>
    <sheet name="SPA" sheetId="61" r:id="rId64"/>
    <sheet name="SWE" sheetId="27" r:id="rId65"/>
    <sheet name="SWI" sheetId="28" r:id="rId66"/>
    <sheet name="TUR" sheetId="69" r:id="rId67"/>
    <sheet name="UKG" sheetId="29" r:id="rId68"/>
    <sheet name="USA" sheetId="71" r:id="rId69"/>
    <sheet name="ECB" sheetId="12" r:id="rId70"/>
    <sheet name="EU" sheetId="11" r:id="rId7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57" l="1"/>
  <c r="B6" i="57"/>
  <c r="C7" i="57"/>
  <c r="C6" i="57"/>
  <c r="B7" i="27" l="1"/>
  <c r="C7" i="27" s="1"/>
  <c r="B6" i="27"/>
  <c r="B7" i="28" l="1"/>
  <c r="B32" i="51" l="1"/>
  <c r="B10" i="21" l="1"/>
  <c r="B41" i="71"/>
  <c r="B27" i="71"/>
  <c r="B26" i="71" s="1"/>
  <c r="B21" i="71"/>
  <c r="B18" i="71"/>
  <c r="B17" i="71"/>
  <c r="B16" i="71" s="1"/>
  <c r="B12" i="71"/>
  <c r="B11" i="71"/>
  <c r="B8" i="71" s="1"/>
  <c r="B5" i="71"/>
  <c r="C41" i="70"/>
  <c r="B41" i="70"/>
  <c r="C29" i="70"/>
  <c r="C26" i="70" s="1"/>
  <c r="B29" i="70"/>
  <c r="B26" i="70" s="1"/>
  <c r="C21" i="70"/>
  <c r="B21" i="70"/>
  <c r="B18" i="70"/>
  <c r="C18" i="70" s="1"/>
  <c r="C16" i="70" s="1"/>
  <c r="C17" i="70"/>
  <c r="B17" i="70" s="1"/>
  <c r="B13" i="70"/>
  <c r="B12" i="70" s="1"/>
  <c r="C8" i="70"/>
  <c r="B8" i="70"/>
  <c r="C5" i="70"/>
  <c r="B5" i="70"/>
  <c r="C41" i="69"/>
  <c r="B41" i="69"/>
  <c r="C29" i="69"/>
  <c r="C26" i="69" s="1"/>
  <c r="B29" i="69"/>
  <c r="B26" i="69" s="1"/>
  <c r="C21" i="69"/>
  <c r="B21" i="69"/>
  <c r="B18" i="69"/>
  <c r="C18" i="69" s="1"/>
  <c r="C16" i="69" s="1"/>
  <c r="C12" i="69"/>
  <c r="B12" i="69"/>
  <c r="C11" i="69"/>
  <c r="C8" i="69" s="1"/>
  <c r="B11" i="69"/>
  <c r="B8" i="69" s="1"/>
  <c r="C5" i="69"/>
  <c r="B5" i="69"/>
  <c r="C41" i="68"/>
  <c r="B41" i="68"/>
  <c r="B32" i="68"/>
  <c r="C30" i="68"/>
  <c r="C29" i="68" s="1"/>
  <c r="C26" i="68" s="1"/>
  <c r="C21" i="68"/>
  <c r="B21" i="68"/>
  <c r="B18" i="68"/>
  <c r="C17" i="68"/>
  <c r="B17" i="68"/>
  <c r="C12" i="68"/>
  <c r="B12" i="68"/>
  <c r="C8" i="68"/>
  <c r="B8" i="68"/>
  <c r="C5" i="68"/>
  <c r="B5" i="68"/>
  <c r="C41" i="67"/>
  <c r="B41" i="67"/>
  <c r="B32" i="67"/>
  <c r="C29" i="67"/>
  <c r="C26" i="67" s="1"/>
  <c r="B29" i="67"/>
  <c r="B26" i="67" s="1"/>
  <c r="C21" i="67"/>
  <c r="B21" i="67"/>
  <c r="C16" i="67"/>
  <c r="B16" i="67"/>
  <c r="C12" i="67"/>
  <c r="B12" i="67"/>
  <c r="C8" i="67"/>
  <c r="B8" i="67"/>
  <c r="C5" i="67"/>
  <c r="B5" i="67"/>
  <c r="B41" i="66"/>
  <c r="B32" i="66"/>
  <c r="B29" i="66"/>
  <c r="B26" i="66" s="1"/>
  <c r="B21" i="66"/>
  <c r="B17" i="66"/>
  <c r="B16" i="66" s="1"/>
  <c r="B12" i="66"/>
  <c r="B8" i="66"/>
  <c r="B5" i="66"/>
  <c r="C41" i="65"/>
  <c r="B41" i="65"/>
  <c r="C29" i="65"/>
  <c r="C26" i="65" s="1"/>
  <c r="B29" i="65"/>
  <c r="B26" i="65" s="1"/>
  <c r="C21" i="65"/>
  <c r="B21" i="65"/>
  <c r="B16" i="65"/>
  <c r="C16" i="65" s="1"/>
  <c r="B13" i="65"/>
  <c r="C13" i="65" s="1"/>
  <c r="C12" i="65" s="1"/>
  <c r="B12" i="65"/>
  <c r="B11" i="65"/>
  <c r="C11" i="65" s="1"/>
  <c r="B9" i="65"/>
  <c r="C9" i="65" s="1"/>
  <c r="C5" i="65"/>
  <c r="B5" i="65"/>
  <c r="C41" i="64"/>
  <c r="B41" i="64"/>
  <c r="C32" i="64"/>
  <c r="B32" i="64" s="1"/>
  <c r="C29" i="64"/>
  <c r="C26" i="64" s="1"/>
  <c r="B29" i="64"/>
  <c r="B26" i="64" s="1"/>
  <c r="C21" i="64"/>
  <c r="B21" i="64"/>
  <c r="C18" i="64"/>
  <c r="B17" i="64"/>
  <c r="B16" i="64" s="1"/>
  <c r="C12" i="64"/>
  <c r="B12" i="64"/>
  <c r="C8" i="64"/>
  <c r="B8" i="64"/>
  <c r="B6" i="64"/>
  <c r="C6" i="64" s="1"/>
  <c r="C5" i="64" s="1"/>
  <c r="C41" i="63"/>
  <c r="B41" i="63"/>
  <c r="C32" i="63"/>
  <c r="B32" i="63" s="1"/>
  <c r="C31" i="63"/>
  <c r="B31" i="63"/>
  <c r="C30" i="63"/>
  <c r="B30" i="63" s="1"/>
  <c r="C21" i="63"/>
  <c r="B21" i="63"/>
  <c r="C16" i="63"/>
  <c r="B16" i="63"/>
  <c r="C12" i="63"/>
  <c r="B12" i="63"/>
  <c r="C8" i="63"/>
  <c r="B8" i="63"/>
  <c r="C5" i="63"/>
  <c r="B5" i="63"/>
  <c r="C41" i="62"/>
  <c r="B41" i="62"/>
  <c r="C30" i="62"/>
  <c r="C29" i="62" s="1"/>
  <c r="C26" i="62" s="1"/>
  <c r="C21" i="62"/>
  <c r="B21" i="62"/>
  <c r="C18" i="62"/>
  <c r="B18" i="62" s="1"/>
  <c r="C17" i="62"/>
  <c r="B17" i="62" s="1"/>
  <c r="C12" i="62"/>
  <c r="B12" i="62"/>
  <c r="C8" i="62"/>
  <c r="B8" i="62"/>
  <c r="C5" i="62"/>
  <c r="B5" i="62"/>
  <c r="C41" i="61"/>
  <c r="B41" i="61"/>
  <c r="C29" i="61"/>
  <c r="C26" i="61" s="1"/>
  <c r="B29" i="61"/>
  <c r="B26" i="61" s="1"/>
  <c r="C21" i="61"/>
  <c r="B21" i="61"/>
  <c r="B18" i="61"/>
  <c r="C18" i="61" s="1"/>
  <c r="B17" i="61"/>
  <c r="C17" i="61" s="1"/>
  <c r="B14" i="61"/>
  <c r="C14" i="61" s="1"/>
  <c r="B13" i="61"/>
  <c r="B12" i="61" s="1"/>
  <c r="B11" i="61"/>
  <c r="C11" i="61" s="1"/>
  <c r="C8" i="61" s="1"/>
  <c r="C5" i="61"/>
  <c r="B5" i="61"/>
  <c r="C41" i="60"/>
  <c r="B41" i="60"/>
  <c r="B32" i="60"/>
  <c r="C31" i="60"/>
  <c r="B31" i="60" s="1"/>
  <c r="B29" i="60" s="1"/>
  <c r="B26" i="60" s="1"/>
  <c r="C21" i="60"/>
  <c r="B21" i="60"/>
  <c r="C16" i="60"/>
  <c r="B16" i="60"/>
  <c r="C12" i="60"/>
  <c r="B12" i="60"/>
  <c r="C8" i="60"/>
  <c r="B8" i="60"/>
  <c r="C5" i="60"/>
  <c r="B5" i="60"/>
  <c r="C41" i="59"/>
  <c r="B41" i="59"/>
  <c r="C29" i="59"/>
  <c r="C26" i="59" s="1"/>
  <c r="B29" i="59"/>
  <c r="C27" i="59"/>
  <c r="B27" i="59" s="1"/>
  <c r="C21" i="59"/>
  <c r="B21" i="59"/>
  <c r="B18" i="59"/>
  <c r="C18" i="59" s="1"/>
  <c r="B17" i="59"/>
  <c r="C17" i="59" s="1"/>
  <c r="B13" i="59"/>
  <c r="B12" i="59" s="1"/>
  <c r="C8" i="59"/>
  <c r="B8" i="59"/>
  <c r="C5" i="59"/>
  <c r="B5" i="59"/>
  <c r="C41" i="58"/>
  <c r="B41" i="58"/>
  <c r="C30" i="58"/>
  <c r="C29" i="58" s="1"/>
  <c r="B29" i="58" s="1"/>
  <c r="B26" i="58" s="1"/>
  <c r="C21" i="58"/>
  <c r="B21" i="58"/>
  <c r="B16" i="58"/>
  <c r="C16" i="58" s="1"/>
  <c r="C12" i="58"/>
  <c r="B12" i="58"/>
  <c r="C8" i="58"/>
  <c r="B8" i="58"/>
  <c r="C5" i="58"/>
  <c r="B5" i="58"/>
  <c r="C41" i="57"/>
  <c r="B37" i="57"/>
  <c r="B41" i="57" s="1"/>
  <c r="C30" i="57"/>
  <c r="B30" i="57" s="1"/>
  <c r="B29" i="57" s="1"/>
  <c r="B26" i="57" s="1"/>
  <c r="C21" i="57"/>
  <c r="B21" i="57"/>
  <c r="C18" i="57"/>
  <c r="B18" i="57" s="1"/>
  <c r="B17" i="57"/>
  <c r="C17" i="57" s="1"/>
  <c r="C12" i="57"/>
  <c r="B12" i="57"/>
  <c r="C9" i="57"/>
  <c r="B9" i="57" s="1"/>
  <c r="B8" i="57" s="1"/>
  <c r="B5" i="57"/>
  <c r="B5" i="64" l="1"/>
  <c r="B26" i="59"/>
  <c r="C34" i="67"/>
  <c r="C43" i="67" s="1"/>
  <c r="C29" i="57"/>
  <c r="C26" i="57" s="1"/>
  <c r="B16" i="68"/>
  <c r="B30" i="58"/>
  <c r="C8" i="57"/>
  <c r="B34" i="60"/>
  <c r="B43" i="60" s="1"/>
  <c r="C34" i="63"/>
  <c r="C43" i="63" s="1"/>
  <c r="B29" i="63"/>
  <c r="B26" i="63" s="1"/>
  <c r="B16" i="61"/>
  <c r="B30" i="62"/>
  <c r="B29" i="62" s="1"/>
  <c r="B26" i="62" s="1"/>
  <c r="B34" i="64"/>
  <c r="B43" i="64" s="1"/>
  <c r="B30" i="68"/>
  <c r="B29" i="68" s="1"/>
  <c r="B26" i="68" s="1"/>
  <c r="C17" i="64"/>
  <c r="C16" i="64" s="1"/>
  <c r="C34" i="64" s="1"/>
  <c r="C43" i="64" s="1"/>
  <c r="C34" i="60"/>
  <c r="C43" i="60" s="1"/>
  <c r="B34" i="71"/>
  <c r="B43" i="71" s="1"/>
  <c r="B16" i="59"/>
  <c r="B34" i="59" s="1"/>
  <c r="B34" i="58"/>
  <c r="B42" i="58" s="1"/>
  <c r="B34" i="68"/>
  <c r="B42" i="68" s="1"/>
  <c r="B16" i="57"/>
  <c r="B34" i="57" s="1"/>
  <c r="C16" i="59"/>
  <c r="C29" i="60"/>
  <c r="C26" i="60" s="1"/>
  <c r="B8" i="61"/>
  <c r="B34" i="61" s="1"/>
  <c r="B16" i="62"/>
  <c r="B34" i="62" s="1"/>
  <c r="B8" i="65"/>
  <c r="B34" i="65" s="1"/>
  <c r="B34" i="67"/>
  <c r="B43" i="67" s="1"/>
  <c r="B16" i="70"/>
  <c r="B34" i="70" s="1"/>
  <c r="C13" i="61"/>
  <c r="C12" i="61" s="1"/>
  <c r="C5" i="57"/>
  <c r="C16" i="57"/>
  <c r="C34" i="58"/>
  <c r="C43" i="58" s="1"/>
  <c r="C16" i="61"/>
  <c r="B34" i="63"/>
  <c r="B42" i="63" s="1"/>
  <c r="C8" i="65"/>
  <c r="C34" i="65" s="1"/>
  <c r="C43" i="65" s="1"/>
  <c r="B16" i="69"/>
  <c r="B34" i="69" s="1"/>
  <c r="B42" i="71"/>
  <c r="B34" i="66"/>
  <c r="B42" i="64"/>
  <c r="B42" i="67"/>
  <c r="C34" i="69"/>
  <c r="C43" i="69" s="1"/>
  <c r="C18" i="68"/>
  <c r="C16" i="68" s="1"/>
  <c r="C34" i="68" s="1"/>
  <c r="C43" i="68" s="1"/>
  <c r="C13" i="70"/>
  <c r="C12" i="70" s="1"/>
  <c r="C34" i="70" s="1"/>
  <c r="C43" i="70" s="1"/>
  <c r="B42" i="60"/>
  <c r="C13" i="59"/>
  <c r="C12" i="59" s="1"/>
  <c r="C16" i="62"/>
  <c r="C34" i="62" s="1"/>
  <c r="C43" i="62" s="1"/>
  <c r="C26" i="58"/>
  <c r="C29" i="63"/>
  <c r="C26" i="63" s="1"/>
  <c r="C34" i="61" l="1"/>
  <c r="C43" i="61" s="1"/>
  <c r="C34" i="59"/>
  <c r="C43" i="59" s="1"/>
  <c r="B42" i="62"/>
  <c r="B43" i="62"/>
  <c r="B43" i="69"/>
  <c r="B42" i="69"/>
  <c r="B43" i="65"/>
  <c r="B42" i="65"/>
  <c r="B43" i="59"/>
  <c r="B42" i="59"/>
  <c r="B43" i="58"/>
  <c r="B43" i="68"/>
  <c r="B43" i="63"/>
  <c r="C34" i="57"/>
  <c r="C43" i="57" s="1"/>
  <c r="B42" i="70"/>
  <c r="B43" i="70"/>
  <c r="B43" i="66"/>
  <c r="B42" i="66"/>
  <c r="B43" i="61"/>
  <c r="B42" i="61"/>
  <c r="B42" i="57"/>
  <c r="B43" i="57"/>
  <c r="B41" i="56" l="1"/>
  <c r="B29" i="56"/>
  <c r="B26" i="56" s="1"/>
  <c r="B21" i="56"/>
  <c r="B16" i="56"/>
  <c r="B12" i="56"/>
  <c r="B8" i="56"/>
  <c r="B5" i="56"/>
  <c r="B41" i="55"/>
  <c r="B30" i="55"/>
  <c r="B29" i="55" s="1"/>
  <c r="B26" i="55" s="1"/>
  <c r="B21" i="55"/>
  <c r="B16" i="55"/>
  <c r="B12" i="55"/>
  <c r="B8" i="55"/>
  <c r="B5" i="55"/>
  <c r="B41" i="54"/>
  <c r="B29" i="54"/>
  <c r="B26" i="54" s="1"/>
  <c r="B21" i="54"/>
  <c r="B16" i="54"/>
  <c r="B12" i="54"/>
  <c r="B8" i="54"/>
  <c r="B5" i="54"/>
  <c r="C41" i="53"/>
  <c r="B41" i="53"/>
  <c r="C31" i="53"/>
  <c r="B31" i="53" s="1"/>
  <c r="C30" i="53"/>
  <c r="B30" i="53"/>
  <c r="C21" i="53"/>
  <c r="B21" i="53"/>
  <c r="C17" i="53"/>
  <c r="B17" i="53" s="1"/>
  <c r="B16" i="53" s="1"/>
  <c r="C16" i="53"/>
  <c r="C12" i="53"/>
  <c r="B12" i="53"/>
  <c r="C8" i="53"/>
  <c r="B8" i="53"/>
  <c r="C7" i="53"/>
  <c r="B7" i="53" s="1"/>
  <c r="B5" i="53" s="1"/>
  <c r="C41" i="52"/>
  <c r="B41" i="52"/>
  <c r="C29" i="52"/>
  <c r="C26" i="52" s="1"/>
  <c r="B29" i="52"/>
  <c r="B26" i="52" s="1"/>
  <c r="C21" i="52"/>
  <c r="B21" i="52"/>
  <c r="C16" i="52"/>
  <c r="B16" i="52"/>
  <c r="B14" i="52"/>
  <c r="B12" i="52" s="1"/>
  <c r="C8" i="52"/>
  <c r="B8" i="52"/>
  <c r="C5" i="52"/>
  <c r="B5" i="52"/>
  <c r="C41" i="51"/>
  <c r="B41" i="51"/>
  <c r="C31" i="51"/>
  <c r="B31" i="51" s="1"/>
  <c r="C30" i="51"/>
  <c r="B30" i="51" s="1"/>
  <c r="B29" i="51" s="1"/>
  <c r="B26" i="51" s="1"/>
  <c r="C21" i="51"/>
  <c r="B21" i="51"/>
  <c r="C16" i="51"/>
  <c r="B16" i="51"/>
  <c r="C12" i="51"/>
  <c r="B12" i="51"/>
  <c r="B9" i="51"/>
  <c r="B8" i="51" s="1"/>
  <c r="B6" i="51"/>
  <c r="C6" i="51" s="1"/>
  <c r="C5" i="51" s="1"/>
  <c r="C41" i="50"/>
  <c r="B41" i="50"/>
  <c r="C31" i="50"/>
  <c r="B31" i="50" s="1"/>
  <c r="C30" i="50"/>
  <c r="C21" i="50"/>
  <c r="B21" i="50"/>
  <c r="B16" i="50"/>
  <c r="C16" i="50" s="1"/>
  <c r="C12" i="50"/>
  <c r="B12" i="50"/>
  <c r="C8" i="50"/>
  <c r="B8" i="50"/>
  <c r="B7" i="50"/>
  <c r="C7" i="50" s="1"/>
  <c r="C5" i="50" s="1"/>
  <c r="C41" i="49"/>
  <c r="B41" i="49"/>
  <c r="C31" i="49"/>
  <c r="B31" i="49" s="1"/>
  <c r="C30" i="49"/>
  <c r="B30" i="49" s="1"/>
  <c r="C27" i="49"/>
  <c r="B27" i="49"/>
  <c r="C21" i="49"/>
  <c r="B21" i="49"/>
  <c r="B16" i="49"/>
  <c r="C16" i="49" s="1"/>
  <c r="C12" i="49"/>
  <c r="B12" i="49"/>
  <c r="C8" i="49"/>
  <c r="B8" i="49"/>
  <c r="C5" i="49"/>
  <c r="B5" i="49"/>
  <c r="C41" i="48"/>
  <c r="B41" i="48"/>
  <c r="C30" i="48"/>
  <c r="B30" i="48" s="1"/>
  <c r="B29" i="48" s="1"/>
  <c r="B26" i="48" s="1"/>
  <c r="C21" i="48"/>
  <c r="B21" i="48"/>
  <c r="C16" i="48"/>
  <c r="B16" i="48"/>
  <c r="C12" i="48"/>
  <c r="B12" i="48"/>
  <c r="C8" i="48"/>
  <c r="B8" i="48"/>
  <c r="C5" i="48"/>
  <c r="B5" i="48"/>
  <c r="C41" i="47"/>
  <c r="B41" i="47"/>
  <c r="C29" i="47"/>
  <c r="C26" i="47" s="1"/>
  <c r="B29" i="47"/>
  <c r="B26" i="47"/>
  <c r="C21" i="47"/>
  <c r="B21" i="47"/>
  <c r="B16" i="47"/>
  <c r="C16" i="47" s="1"/>
  <c r="C12" i="47"/>
  <c r="B12" i="47"/>
  <c r="C8" i="47"/>
  <c r="B8" i="47"/>
  <c r="B6" i="47"/>
  <c r="C6" i="47" s="1"/>
  <c r="C5" i="47" s="1"/>
  <c r="C41" i="46"/>
  <c r="B41" i="46"/>
  <c r="C30" i="46"/>
  <c r="C29" i="46" s="1"/>
  <c r="C26" i="46" s="1"/>
  <c r="C21" i="46"/>
  <c r="B21" i="46"/>
  <c r="C16" i="46"/>
  <c r="C12" i="46"/>
  <c r="B12" i="46"/>
  <c r="C8" i="46"/>
  <c r="B8" i="46"/>
  <c r="B34" i="46" s="1"/>
  <c r="B43" i="46" s="1"/>
  <c r="C5" i="46"/>
  <c r="B5" i="46"/>
  <c r="C41" i="45"/>
  <c r="B41" i="45"/>
  <c r="C29" i="45"/>
  <c r="C26" i="45" s="1"/>
  <c r="B29" i="45"/>
  <c r="B26" i="45" s="1"/>
  <c r="C21" i="45"/>
  <c r="B21" i="45"/>
  <c r="B16" i="45"/>
  <c r="C16" i="45" s="1"/>
  <c r="B13" i="45"/>
  <c r="C13" i="45" s="1"/>
  <c r="C12" i="45" s="1"/>
  <c r="C8" i="45"/>
  <c r="B8" i="45"/>
  <c r="C5" i="45"/>
  <c r="B5" i="45"/>
  <c r="C41" i="44"/>
  <c r="B41" i="44"/>
  <c r="C29" i="44"/>
  <c r="C26" i="44" s="1"/>
  <c r="B29" i="44"/>
  <c r="B26" i="44" s="1"/>
  <c r="C21" i="44"/>
  <c r="B21" i="44"/>
  <c r="B16" i="44"/>
  <c r="C16" i="44" s="1"/>
  <c r="C12" i="44"/>
  <c r="B12" i="44"/>
  <c r="B11" i="44"/>
  <c r="C11" i="44" s="1"/>
  <c r="B10" i="44"/>
  <c r="C5" i="44"/>
  <c r="B5" i="44"/>
  <c r="C41" i="43"/>
  <c r="B41" i="43"/>
  <c r="C31" i="43"/>
  <c r="C29" i="43" s="1"/>
  <c r="C26" i="43" s="1"/>
  <c r="B31" i="43"/>
  <c r="B29" i="43" s="1"/>
  <c r="B26" i="43" s="1"/>
  <c r="C21" i="43"/>
  <c r="B21" i="43"/>
  <c r="B16" i="43"/>
  <c r="C16" i="43" s="1"/>
  <c r="C12" i="43"/>
  <c r="B12" i="43"/>
  <c r="C8" i="43"/>
  <c r="B8" i="43"/>
  <c r="C5" i="43"/>
  <c r="B5" i="43"/>
  <c r="C41" i="42"/>
  <c r="B41" i="42"/>
  <c r="C29" i="42"/>
  <c r="B29" i="42"/>
  <c r="C28" i="42"/>
  <c r="B28" i="42" s="1"/>
  <c r="C21" i="42"/>
  <c r="B21" i="42"/>
  <c r="C16" i="42"/>
  <c r="B16" i="42"/>
  <c r="C12" i="42"/>
  <c r="B12" i="42"/>
  <c r="C8" i="42"/>
  <c r="B8" i="42"/>
  <c r="C5" i="42"/>
  <c r="B5" i="42"/>
  <c r="C41" i="41"/>
  <c r="B41" i="41"/>
  <c r="C29" i="41"/>
  <c r="C26" i="41" s="1"/>
  <c r="B29" i="41"/>
  <c r="B28" i="41"/>
  <c r="C21" i="41"/>
  <c r="B21" i="41"/>
  <c r="B16" i="41"/>
  <c r="C16" i="41" s="1"/>
  <c r="C12" i="41"/>
  <c r="B12" i="41"/>
  <c r="C8" i="41"/>
  <c r="B8" i="41"/>
  <c r="C5" i="41"/>
  <c r="B5" i="41"/>
  <c r="C41" i="40"/>
  <c r="B41" i="40"/>
  <c r="C30" i="40"/>
  <c r="B30" i="40" s="1"/>
  <c r="B29" i="40" s="1"/>
  <c r="C27" i="40"/>
  <c r="C21" i="40"/>
  <c r="B21" i="40"/>
  <c r="B16" i="40"/>
  <c r="C16" i="40" s="1"/>
  <c r="C12" i="40"/>
  <c r="B12" i="40"/>
  <c r="C8" i="40"/>
  <c r="B8" i="40"/>
  <c r="B6" i="40"/>
  <c r="C6" i="40" s="1"/>
  <c r="C5" i="40" s="1"/>
  <c r="B5" i="40"/>
  <c r="C41" i="39"/>
  <c r="B41" i="39"/>
  <c r="C29" i="39"/>
  <c r="C26" i="39" s="1"/>
  <c r="B29" i="39"/>
  <c r="B26" i="39" s="1"/>
  <c r="C21" i="39"/>
  <c r="B21" i="39"/>
  <c r="B18" i="39"/>
  <c r="C18" i="39" s="1"/>
  <c r="B17" i="39"/>
  <c r="C12" i="39"/>
  <c r="B12" i="39"/>
  <c r="C8" i="39"/>
  <c r="B8" i="39"/>
  <c r="C5" i="39"/>
  <c r="B5" i="39"/>
  <c r="C41" i="38"/>
  <c r="B41" i="38"/>
  <c r="B32" i="38"/>
  <c r="C32" i="38" s="1"/>
  <c r="C29" i="38"/>
  <c r="B29" i="38"/>
  <c r="C27" i="38"/>
  <c r="B27" i="38" s="1"/>
  <c r="B26" i="38" s="1"/>
  <c r="B24" i="38"/>
  <c r="B21" i="38" s="1"/>
  <c r="B16" i="38"/>
  <c r="C16" i="38" s="1"/>
  <c r="C12" i="38"/>
  <c r="B12" i="38"/>
  <c r="B9" i="38"/>
  <c r="C9" i="38" s="1"/>
  <c r="C8" i="38" s="1"/>
  <c r="C5" i="38"/>
  <c r="B5" i="38"/>
  <c r="C41" i="37"/>
  <c r="B41" i="37"/>
  <c r="C29" i="37"/>
  <c r="B29" i="37" s="1"/>
  <c r="C27" i="37"/>
  <c r="B27" i="37" s="1"/>
  <c r="C21" i="37"/>
  <c r="B21" i="37"/>
  <c r="B16" i="37"/>
  <c r="C16" i="37" s="1"/>
  <c r="C12" i="37"/>
  <c r="B12" i="37"/>
  <c r="C8" i="37"/>
  <c r="B8" i="37"/>
  <c r="C5" i="37"/>
  <c r="B5" i="37"/>
  <c r="C41" i="36"/>
  <c r="B41" i="36"/>
  <c r="C29" i="36"/>
  <c r="C26" i="36" s="1"/>
  <c r="B29" i="36"/>
  <c r="B26" i="36" s="1"/>
  <c r="C21" i="36"/>
  <c r="B21" i="36"/>
  <c r="B18" i="36"/>
  <c r="C18" i="36" s="1"/>
  <c r="B17" i="36"/>
  <c r="C17" i="36" s="1"/>
  <c r="B15" i="36"/>
  <c r="C15" i="36" s="1"/>
  <c r="C12" i="36"/>
  <c r="B12" i="36"/>
  <c r="B11" i="36"/>
  <c r="C11" i="36" s="1"/>
  <c r="C8" i="36" s="1"/>
  <c r="B6" i="36"/>
  <c r="C6" i="36" s="1"/>
  <c r="C5" i="36" s="1"/>
  <c r="C29" i="40" l="1"/>
  <c r="C26" i="40" s="1"/>
  <c r="B26" i="42"/>
  <c r="C34" i="46"/>
  <c r="C43" i="46" s="1"/>
  <c r="B5" i="51"/>
  <c r="B34" i="51" s="1"/>
  <c r="C26" i="38"/>
  <c r="B5" i="50"/>
  <c r="B34" i="50" s="1"/>
  <c r="C29" i="50"/>
  <c r="C26" i="50" s="1"/>
  <c r="B34" i="54"/>
  <c r="B42" i="54" s="1"/>
  <c r="C29" i="53"/>
  <c r="C26" i="53" s="1"/>
  <c r="B34" i="40"/>
  <c r="B43" i="40" s="1"/>
  <c r="C34" i="41"/>
  <c r="C43" i="41" s="1"/>
  <c r="B8" i="44"/>
  <c r="B34" i="44" s="1"/>
  <c r="C5" i="53"/>
  <c r="C34" i="53" s="1"/>
  <c r="C43" i="53" s="1"/>
  <c r="B34" i="55"/>
  <c r="B43" i="55" s="1"/>
  <c r="B34" i="56"/>
  <c r="B43" i="56" s="1"/>
  <c r="B27" i="40"/>
  <c r="B26" i="40" s="1"/>
  <c r="B26" i="41"/>
  <c r="C10" i="44"/>
  <c r="C29" i="48"/>
  <c r="C26" i="48" s="1"/>
  <c r="B30" i="50"/>
  <c r="B29" i="50" s="1"/>
  <c r="B26" i="50" s="1"/>
  <c r="B26" i="37"/>
  <c r="C34" i="40"/>
  <c r="C43" i="40" s="1"/>
  <c r="B8" i="36"/>
  <c r="C34" i="50"/>
  <c r="C43" i="50" s="1"/>
  <c r="B34" i="37"/>
  <c r="B43" i="37" s="1"/>
  <c r="B34" i="48"/>
  <c r="B43" i="48" s="1"/>
  <c r="B42" i="51"/>
  <c r="C14" i="52"/>
  <c r="C12" i="52" s="1"/>
  <c r="C34" i="52" s="1"/>
  <c r="C43" i="52" s="1"/>
  <c r="B29" i="53"/>
  <c r="B26" i="53" s="1"/>
  <c r="C26" i="37"/>
  <c r="C34" i="48"/>
  <c r="C43" i="48" s="1"/>
  <c r="B34" i="43"/>
  <c r="B43" i="43" s="1"/>
  <c r="C34" i="47"/>
  <c r="C43" i="47" s="1"/>
  <c r="B29" i="49"/>
  <c r="B26" i="49" s="1"/>
  <c r="B34" i="53"/>
  <c r="B42" i="53" s="1"/>
  <c r="C16" i="36"/>
  <c r="C34" i="36" s="1"/>
  <c r="C43" i="36" s="1"/>
  <c r="B34" i="42"/>
  <c r="B43" i="42" s="1"/>
  <c r="C8" i="44"/>
  <c r="C34" i="44" s="1"/>
  <c r="C43" i="44" s="1"/>
  <c r="B34" i="49"/>
  <c r="B42" i="49" s="1"/>
  <c r="B16" i="36"/>
  <c r="B16" i="39"/>
  <c r="B34" i="39" s="1"/>
  <c r="B43" i="39" s="1"/>
  <c r="B34" i="41"/>
  <c r="C34" i="42"/>
  <c r="C43" i="42" s="1"/>
  <c r="B42" i="55"/>
  <c r="B42" i="48"/>
  <c r="B42" i="37"/>
  <c r="C34" i="37"/>
  <c r="C43" i="37" s="1"/>
  <c r="C34" i="45"/>
  <c r="C43" i="45" s="1"/>
  <c r="C34" i="49"/>
  <c r="C43" i="49" s="1"/>
  <c r="B42" i="42"/>
  <c r="C34" i="43"/>
  <c r="C43" i="43" s="1"/>
  <c r="B34" i="52"/>
  <c r="C34" i="38"/>
  <c r="C43" i="38" s="1"/>
  <c r="B42" i="43"/>
  <c r="B43" i="41"/>
  <c r="B42" i="41"/>
  <c r="C24" i="38"/>
  <c r="C21" i="38" s="1"/>
  <c r="C9" i="51"/>
  <c r="C8" i="51" s="1"/>
  <c r="B5" i="36"/>
  <c r="B8" i="38"/>
  <c r="B34" i="38" s="1"/>
  <c r="C26" i="42"/>
  <c r="B12" i="45"/>
  <c r="B34" i="45" s="1"/>
  <c r="B30" i="46"/>
  <c r="B29" i="46" s="1"/>
  <c r="B26" i="46" s="1"/>
  <c r="B43" i="54"/>
  <c r="C17" i="39"/>
  <c r="C16" i="39" s="1"/>
  <c r="C34" i="39" s="1"/>
  <c r="C43" i="39" s="1"/>
  <c r="B5" i="47"/>
  <c r="B34" i="47" s="1"/>
  <c r="B42" i="46"/>
  <c r="C29" i="49"/>
  <c r="C26" i="49" s="1"/>
  <c r="C29" i="51"/>
  <c r="C26" i="51" s="1"/>
  <c r="B42" i="50" l="1"/>
  <c r="B43" i="50"/>
  <c r="C34" i="51"/>
  <c r="C43" i="51" s="1"/>
  <c r="B42" i="40"/>
  <c r="B42" i="44"/>
  <c r="B43" i="44"/>
  <c r="B34" i="36"/>
  <c r="B43" i="36" s="1"/>
  <c r="B42" i="56"/>
  <c r="B43" i="49"/>
  <c r="B43" i="53"/>
  <c r="B43" i="51"/>
  <c r="B42" i="39"/>
  <c r="B43" i="38"/>
  <c r="B42" i="38"/>
  <c r="B43" i="52"/>
  <c r="B42" i="52"/>
  <c r="B42" i="47"/>
  <c r="B43" i="47"/>
  <c r="B43" i="45"/>
  <c r="B42" i="45"/>
  <c r="B42" i="36" l="1"/>
  <c r="C41" i="35"/>
  <c r="B41" i="35"/>
  <c r="C31" i="35"/>
  <c r="B31" i="35" s="1"/>
  <c r="C30" i="35"/>
  <c r="B30" i="35" s="1"/>
  <c r="C24" i="35"/>
  <c r="C21" i="35" s="1"/>
  <c r="B21" i="35"/>
  <c r="B18" i="35"/>
  <c r="C18" i="35" s="1"/>
  <c r="B17" i="35"/>
  <c r="C17" i="35" s="1"/>
  <c r="B13" i="35"/>
  <c r="C13" i="35" s="1"/>
  <c r="C12" i="35" s="1"/>
  <c r="B11" i="35"/>
  <c r="C11" i="35" s="1"/>
  <c r="C8" i="35" s="1"/>
  <c r="B7" i="35"/>
  <c r="C7" i="35" s="1"/>
  <c r="C5" i="35" s="1"/>
  <c r="C41" i="34"/>
  <c r="B41" i="34"/>
  <c r="B32" i="34"/>
  <c r="C32" i="34" s="1"/>
  <c r="C29" i="34"/>
  <c r="C26" i="34" s="1"/>
  <c r="B29" i="34"/>
  <c r="B26" i="34" s="1"/>
  <c r="C21" i="34"/>
  <c r="B21" i="34"/>
  <c r="B18" i="34"/>
  <c r="B16" i="34" s="1"/>
  <c r="C17" i="34"/>
  <c r="B13" i="34"/>
  <c r="B12" i="34" s="1"/>
  <c r="C8" i="34"/>
  <c r="B8" i="34"/>
  <c r="C5" i="34"/>
  <c r="B5" i="34"/>
  <c r="C41" i="33"/>
  <c r="B41" i="33"/>
  <c r="C30" i="33"/>
  <c r="B30" i="33" s="1"/>
  <c r="B29" i="33" s="1"/>
  <c r="B26" i="33" s="1"/>
  <c r="C21" i="33"/>
  <c r="B21" i="33"/>
  <c r="C16" i="33"/>
  <c r="B16" i="33"/>
  <c r="C12" i="33"/>
  <c r="B12" i="33"/>
  <c r="B10" i="33"/>
  <c r="C10" i="33" s="1"/>
  <c r="C9" i="33"/>
  <c r="B9" i="33"/>
  <c r="C5" i="33"/>
  <c r="B5" i="33"/>
  <c r="C41" i="32"/>
  <c r="B41" i="32"/>
  <c r="B32" i="32"/>
  <c r="C32" i="32" s="1"/>
  <c r="C31" i="32"/>
  <c r="C29" i="32" s="1"/>
  <c r="C26" i="32" s="1"/>
  <c r="B30" i="32"/>
  <c r="C21" i="32"/>
  <c r="B21" i="32"/>
  <c r="C17" i="32"/>
  <c r="C16" i="32" s="1"/>
  <c r="B16" i="32"/>
  <c r="C12" i="32"/>
  <c r="B12" i="32"/>
  <c r="C8" i="32"/>
  <c r="B8" i="32"/>
  <c r="C5" i="32"/>
  <c r="B5" i="32"/>
  <c r="B34" i="32" s="1"/>
  <c r="C41" i="31"/>
  <c r="B41" i="31"/>
  <c r="B30" i="31"/>
  <c r="B29" i="31" s="1"/>
  <c r="B26" i="31" s="1"/>
  <c r="C29" i="31"/>
  <c r="C26" i="31" s="1"/>
  <c r="C21" i="31"/>
  <c r="B21" i="31"/>
  <c r="B16" i="31"/>
  <c r="C12" i="31"/>
  <c r="B12" i="31"/>
  <c r="C8" i="31"/>
  <c r="B8" i="31"/>
  <c r="C5" i="31"/>
  <c r="B5" i="31"/>
  <c r="C41" i="30"/>
  <c r="B41" i="30"/>
  <c r="C31" i="30"/>
  <c r="B31" i="30" s="1"/>
  <c r="B29" i="30" s="1"/>
  <c r="B26" i="30" s="1"/>
  <c r="C21" i="30"/>
  <c r="B21" i="30"/>
  <c r="B17" i="30"/>
  <c r="C17" i="30" s="1"/>
  <c r="C16" i="30" s="1"/>
  <c r="C12" i="30"/>
  <c r="B12" i="30"/>
  <c r="C8" i="30"/>
  <c r="B8" i="30"/>
  <c r="C5" i="30"/>
  <c r="B5" i="30"/>
  <c r="C41" i="29"/>
  <c r="B41" i="29"/>
  <c r="C32" i="29"/>
  <c r="C29" i="29"/>
  <c r="C27" i="29"/>
  <c r="B24" i="29"/>
  <c r="C24" i="29" s="1"/>
  <c r="B22" i="29"/>
  <c r="B21" i="29" s="1"/>
  <c r="B18" i="29"/>
  <c r="C18" i="29" s="1"/>
  <c r="B17" i="29"/>
  <c r="C17" i="29" s="1"/>
  <c r="C12" i="29"/>
  <c r="B12" i="29"/>
  <c r="C8" i="29"/>
  <c r="B8" i="29"/>
  <c r="C5" i="29"/>
  <c r="B5" i="29"/>
  <c r="C41" i="28"/>
  <c r="B41" i="28"/>
  <c r="C29" i="28"/>
  <c r="B29" i="28"/>
  <c r="C28" i="28"/>
  <c r="C27" i="28"/>
  <c r="B27" i="28" s="1"/>
  <c r="C21" i="28"/>
  <c r="B21" i="28"/>
  <c r="B18" i="28"/>
  <c r="B16" i="28" s="1"/>
  <c r="C12" i="28"/>
  <c r="B12" i="28"/>
  <c r="B11" i="28"/>
  <c r="C11" i="28" s="1"/>
  <c r="C8" i="28" s="1"/>
  <c r="B5" i="28"/>
  <c r="C5" i="28"/>
  <c r="C41" i="27"/>
  <c r="B41" i="27"/>
  <c r="C26" i="27"/>
  <c r="B26" i="27"/>
  <c r="B24" i="27"/>
  <c r="C24" i="27" s="1"/>
  <c r="C21" i="27" s="1"/>
  <c r="B18" i="27"/>
  <c r="C18" i="27" s="1"/>
  <c r="B17" i="27"/>
  <c r="C17" i="27" s="1"/>
  <c r="B13" i="27"/>
  <c r="B12" i="27" s="1"/>
  <c r="C12" i="27" s="1"/>
  <c r="B11" i="27"/>
  <c r="C11" i="27" s="1"/>
  <c r="C8" i="27" s="1"/>
  <c r="B5" i="27"/>
  <c r="C41" i="26"/>
  <c r="B41" i="26"/>
  <c r="C29" i="26"/>
  <c r="C26" i="26" s="1"/>
  <c r="B29" i="26"/>
  <c r="B26" i="26" s="1"/>
  <c r="C21" i="26"/>
  <c r="B21" i="26"/>
  <c r="B18" i="26"/>
  <c r="C18" i="26" s="1"/>
  <c r="B17" i="26"/>
  <c r="C17" i="26" s="1"/>
  <c r="C14" i="26"/>
  <c r="C12" i="26" s="1"/>
  <c r="B12" i="26"/>
  <c r="B11" i="26"/>
  <c r="C11" i="26" s="1"/>
  <c r="C8" i="26" s="1"/>
  <c r="C5" i="26"/>
  <c r="B5" i="26"/>
  <c r="C41" i="25"/>
  <c r="B41" i="25"/>
  <c r="C29" i="25"/>
  <c r="B29" i="25"/>
  <c r="C27" i="25"/>
  <c r="B27" i="25" s="1"/>
  <c r="B26" i="25" s="1"/>
  <c r="C21" i="25"/>
  <c r="B21" i="25"/>
  <c r="B18" i="25"/>
  <c r="C18" i="25" s="1"/>
  <c r="B17" i="25"/>
  <c r="C17" i="25" s="1"/>
  <c r="C13" i="25"/>
  <c r="C12" i="25" s="1"/>
  <c r="B12" i="25"/>
  <c r="B11" i="25"/>
  <c r="C11" i="25" s="1"/>
  <c r="C8" i="25" s="1"/>
  <c r="C5" i="25"/>
  <c r="B5" i="25"/>
  <c r="C41" i="24"/>
  <c r="B41" i="24"/>
  <c r="C26" i="24"/>
  <c r="B26" i="24"/>
  <c r="C21" i="24"/>
  <c r="B21" i="24"/>
  <c r="C18" i="24"/>
  <c r="C16" i="24" s="1"/>
  <c r="B18" i="24"/>
  <c r="C17" i="24"/>
  <c r="B16" i="24"/>
  <c r="B13" i="24"/>
  <c r="B12" i="24" s="1"/>
  <c r="C11" i="24"/>
  <c r="C8" i="24"/>
  <c r="B8" i="24"/>
  <c r="C5" i="24"/>
  <c r="B5" i="24"/>
  <c r="B26" i="28" l="1"/>
  <c r="B16" i="29"/>
  <c r="B34" i="29" s="1"/>
  <c r="B8" i="26"/>
  <c r="B8" i="28"/>
  <c r="B34" i="28" s="1"/>
  <c r="C26" i="29"/>
  <c r="B5" i="35"/>
  <c r="B8" i="33"/>
  <c r="C16" i="26"/>
  <c r="C34" i="26" s="1"/>
  <c r="C43" i="26" s="1"/>
  <c r="B31" i="32"/>
  <c r="B29" i="32" s="1"/>
  <c r="B26" i="32" s="1"/>
  <c r="C8" i="33"/>
  <c r="C34" i="33" s="1"/>
  <c r="C43" i="33" s="1"/>
  <c r="C13" i="34"/>
  <c r="C12" i="34" s="1"/>
  <c r="C34" i="32"/>
  <c r="C43" i="32" s="1"/>
  <c r="B16" i="25"/>
  <c r="C26" i="25"/>
  <c r="C16" i="29"/>
  <c r="C34" i="29" s="1"/>
  <c r="C43" i="29" s="1"/>
  <c r="B34" i="33"/>
  <c r="B43" i="33" s="1"/>
  <c r="B34" i="31"/>
  <c r="B42" i="31" s="1"/>
  <c r="B8" i="25"/>
  <c r="B34" i="25" s="1"/>
  <c r="B43" i="25" s="1"/>
  <c r="B12" i="35"/>
  <c r="B29" i="35"/>
  <c r="B26" i="35" s="1"/>
  <c r="C16" i="25"/>
  <c r="C34" i="25" s="1"/>
  <c r="C43" i="25" s="1"/>
  <c r="C26" i="28"/>
  <c r="C13" i="24"/>
  <c r="C12" i="24" s="1"/>
  <c r="C34" i="24" s="1"/>
  <c r="C43" i="24" s="1"/>
  <c r="C29" i="30"/>
  <c r="C26" i="30" s="1"/>
  <c r="B34" i="34"/>
  <c r="B43" i="34" s="1"/>
  <c r="C29" i="35"/>
  <c r="C26" i="35" s="1"/>
  <c r="B34" i="26"/>
  <c r="B43" i="26" s="1"/>
  <c r="B16" i="26"/>
  <c r="B27" i="29"/>
  <c r="B26" i="29" s="1"/>
  <c r="C16" i="35"/>
  <c r="C34" i="35" s="1"/>
  <c r="C43" i="35" s="1"/>
  <c r="B16" i="27"/>
  <c r="C16" i="27"/>
  <c r="C6" i="27"/>
  <c r="C5" i="27" s="1"/>
  <c r="B8" i="27"/>
  <c r="C13" i="27"/>
  <c r="B43" i="31"/>
  <c r="C34" i="30"/>
  <c r="C43" i="30" s="1"/>
  <c r="B34" i="24"/>
  <c r="B43" i="32"/>
  <c r="B42" i="32"/>
  <c r="C22" i="29"/>
  <c r="C21" i="29" s="1"/>
  <c r="B21" i="27"/>
  <c r="B16" i="30"/>
  <c r="B34" i="30" s="1"/>
  <c r="B8" i="35"/>
  <c r="B16" i="35"/>
  <c r="C29" i="33"/>
  <c r="C26" i="33" s="1"/>
  <c r="C18" i="28"/>
  <c r="C16" i="28" s="1"/>
  <c r="C34" i="28" s="1"/>
  <c r="C43" i="28" s="1"/>
  <c r="C16" i="31"/>
  <c r="C34" i="31" s="1"/>
  <c r="C43" i="31" s="1"/>
  <c r="C18" i="34"/>
  <c r="C16" i="34" s="1"/>
  <c r="C34" i="34" s="1"/>
  <c r="C43" i="34" s="1"/>
  <c r="B42" i="29" l="1"/>
  <c r="B43" i="29"/>
  <c r="B42" i="34"/>
  <c r="B42" i="25"/>
  <c r="B42" i="26"/>
  <c r="B42" i="33"/>
  <c r="B34" i="35"/>
  <c r="B42" i="35" s="1"/>
  <c r="C34" i="27"/>
  <c r="C43" i="27" s="1"/>
  <c r="B34" i="27"/>
  <c r="B42" i="27" s="1"/>
  <c r="B43" i="30"/>
  <c r="B42" i="30"/>
  <c r="B43" i="28"/>
  <c r="B42" i="28"/>
  <c r="B43" i="24"/>
  <c r="B42" i="24"/>
  <c r="B43" i="27" l="1"/>
  <c r="B43" i="35"/>
  <c r="C41" i="23"/>
  <c r="B41" i="23"/>
  <c r="B32" i="23"/>
  <c r="C32" i="23" s="1"/>
  <c r="C29" i="23"/>
  <c r="B29" i="23"/>
  <c r="B26" i="23" s="1"/>
  <c r="C26" i="23"/>
  <c r="C21" i="23"/>
  <c r="B21" i="23"/>
  <c r="B18" i="23"/>
  <c r="C18" i="23" s="1"/>
  <c r="C16" i="23" s="1"/>
  <c r="B17" i="23"/>
  <c r="B16" i="23" s="1"/>
  <c r="C12" i="23"/>
  <c r="B12" i="23"/>
  <c r="B11" i="23"/>
  <c r="B8" i="23" s="1"/>
  <c r="C5" i="23"/>
  <c r="B5" i="23"/>
  <c r="C41" i="22"/>
  <c r="B41" i="22"/>
  <c r="B32" i="22"/>
  <c r="C32" i="22" s="1"/>
  <c r="B31" i="22"/>
  <c r="C30" i="22"/>
  <c r="C29" i="22" s="1"/>
  <c r="C26" i="22" s="1"/>
  <c r="C21" i="22"/>
  <c r="B21" i="22"/>
  <c r="B18" i="22"/>
  <c r="B16" i="22" s="1"/>
  <c r="C12" i="22"/>
  <c r="B12" i="22"/>
  <c r="B9" i="22"/>
  <c r="B8" i="22" s="1"/>
  <c r="C5" i="22"/>
  <c r="B5" i="22"/>
  <c r="C41" i="21"/>
  <c r="B41" i="21"/>
  <c r="B32" i="21"/>
  <c r="C32" i="21" s="1"/>
  <c r="C30" i="21"/>
  <c r="B30" i="21" s="1"/>
  <c r="B29" i="21" s="1"/>
  <c r="B26" i="21" s="1"/>
  <c r="C21" i="21"/>
  <c r="B21" i="21"/>
  <c r="B16" i="21"/>
  <c r="C16" i="21" s="1"/>
  <c r="C12" i="21"/>
  <c r="B12" i="21"/>
  <c r="C10" i="21"/>
  <c r="B9" i="21"/>
  <c r="C9" i="21" s="1"/>
  <c r="B6" i="21"/>
  <c r="C6" i="21" s="1"/>
  <c r="C5" i="21" s="1"/>
  <c r="C41" i="20"/>
  <c r="B41" i="20"/>
  <c r="C29" i="20"/>
  <c r="C26" i="20" s="1"/>
  <c r="B29" i="20"/>
  <c r="B26" i="20" s="1"/>
  <c r="C21" i="20"/>
  <c r="B21" i="20"/>
  <c r="B18" i="20"/>
  <c r="B16" i="20" s="1"/>
  <c r="C16" i="20" s="1"/>
  <c r="C14" i="20"/>
  <c r="C13" i="20"/>
  <c r="C12" i="20" s="1"/>
  <c r="B12" i="20"/>
  <c r="B11" i="20"/>
  <c r="C11" i="20" s="1"/>
  <c r="B10" i="20"/>
  <c r="C10" i="20" s="1"/>
  <c r="B9" i="20"/>
  <c r="C9" i="20" s="1"/>
  <c r="C5" i="20"/>
  <c r="B5" i="20"/>
  <c r="C41" i="19"/>
  <c r="B41" i="19"/>
  <c r="C29" i="19"/>
  <c r="C26" i="19" s="1"/>
  <c r="B29" i="19"/>
  <c r="B26" i="19" s="1"/>
  <c r="C21" i="19"/>
  <c r="B21" i="19"/>
  <c r="B18" i="19"/>
  <c r="B17" i="19"/>
  <c r="C17" i="19" s="1"/>
  <c r="B14" i="19"/>
  <c r="C14" i="19" s="1"/>
  <c r="C12" i="19" s="1"/>
  <c r="B11" i="19"/>
  <c r="C11" i="19" s="1"/>
  <c r="C8" i="19" s="1"/>
  <c r="C5" i="19"/>
  <c r="B5" i="19"/>
  <c r="C41" i="18"/>
  <c r="B41" i="18"/>
  <c r="C29" i="18"/>
  <c r="C26" i="18" s="1"/>
  <c r="B29" i="18"/>
  <c r="B26" i="18" s="1"/>
  <c r="C21" i="18"/>
  <c r="B21" i="18"/>
  <c r="B18" i="18"/>
  <c r="C18" i="18" s="1"/>
  <c r="C17" i="18"/>
  <c r="C13" i="18"/>
  <c r="C12" i="18" s="1"/>
  <c r="B12" i="18"/>
  <c r="C11" i="18"/>
  <c r="C9" i="18"/>
  <c r="B8" i="18"/>
  <c r="C5" i="18"/>
  <c r="B5" i="18"/>
  <c r="C41" i="17"/>
  <c r="B41" i="17"/>
  <c r="C29" i="17"/>
  <c r="C26" i="17" s="1"/>
  <c r="B29" i="17"/>
  <c r="B26" i="17"/>
  <c r="C21" i="17"/>
  <c r="B21" i="17"/>
  <c r="B18" i="17"/>
  <c r="C18" i="17" s="1"/>
  <c r="B17" i="17"/>
  <c r="B16" i="17" s="1"/>
  <c r="C12" i="17"/>
  <c r="B12" i="17"/>
  <c r="B11" i="17"/>
  <c r="C11" i="17" s="1"/>
  <c r="C8" i="17" s="1"/>
  <c r="B8" i="17"/>
  <c r="C5" i="17"/>
  <c r="B5" i="17"/>
  <c r="C41" i="16"/>
  <c r="B41" i="16"/>
  <c r="C29" i="16"/>
  <c r="C26" i="16" s="1"/>
  <c r="B29" i="16"/>
  <c r="B26" i="16" s="1"/>
  <c r="C21" i="16"/>
  <c r="B21" i="16"/>
  <c r="B18" i="16"/>
  <c r="C18" i="16" s="1"/>
  <c r="B17" i="16"/>
  <c r="C17" i="16" s="1"/>
  <c r="B13" i="16"/>
  <c r="B12" i="16" s="1"/>
  <c r="B11" i="16"/>
  <c r="C11" i="16" s="1"/>
  <c r="B10" i="16"/>
  <c r="C10" i="16" s="1"/>
  <c r="C7" i="16"/>
  <c r="B6" i="16"/>
  <c r="C6" i="16" s="1"/>
  <c r="B5" i="16"/>
  <c r="C41" i="15"/>
  <c r="B41" i="15"/>
  <c r="C32" i="15"/>
  <c r="C29" i="15"/>
  <c r="B29" i="15"/>
  <c r="C27" i="15"/>
  <c r="B27" i="15" s="1"/>
  <c r="C21" i="15"/>
  <c r="B21" i="15"/>
  <c r="B18" i="15"/>
  <c r="C18" i="15" s="1"/>
  <c r="C16" i="15" s="1"/>
  <c r="B13" i="15"/>
  <c r="C13" i="15" s="1"/>
  <c r="C12" i="15" s="1"/>
  <c r="B11" i="15"/>
  <c r="C11" i="15" s="1"/>
  <c r="C8" i="15" s="1"/>
  <c r="C5" i="15"/>
  <c r="B5" i="15"/>
  <c r="C41" i="14"/>
  <c r="B41" i="14"/>
  <c r="C29" i="14"/>
  <c r="B29" i="14"/>
  <c r="B26" i="14" s="1"/>
  <c r="C26" i="14"/>
  <c r="C21" i="14"/>
  <c r="B21" i="14"/>
  <c r="B16" i="14"/>
  <c r="C16" i="14" s="1"/>
  <c r="C12" i="14"/>
  <c r="B12" i="14"/>
  <c r="B11" i="14"/>
  <c r="C11" i="14" s="1"/>
  <c r="B10" i="14"/>
  <c r="B8" i="14" s="1"/>
  <c r="C5" i="14"/>
  <c r="B5" i="14"/>
  <c r="C41" i="13"/>
  <c r="B41" i="13"/>
  <c r="C32" i="13"/>
  <c r="C29" i="13"/>
  <c r="C26" i="13" s="1"/>
  <c r="B29" i="13"/>
  <c r="B26" i="13" s="1"/>
  <c r="C21" i="13"/>
  <c r="B21" i="13"/>
  <c r="B18" i="13"/>
  <c r="C18" i="13" s="1"/>
  <c r="B17" i="13"/>
  <c r="C17" i="13" s="1"/>
  <c r="C14" i="13"/>
  <c r="C12" i="13" s="1"/>
  <c r="B12" i="13"/>
  <c r="B11" i="13"/>
  <c r="B8" i="13" s="1"/>
  <c r="C5" i="13"/>
  <c r="B5" i="13"/>
  <c r="C32" i="12"/>
  <c r="C29" i="12"/>
  <c r="B29" i="12"/>
  <c r="C27" i="12"/>
  <c r="B27" i="12" s="1"/>
  <c r="B26" i="12" s="1"/>
  <c r="C21" i="12"/>
  <c r="B21" i="12"/>
  <c r="C18" i="12"/>
  <c r="C17" i="12"/>
  <c r="B16" i="12"/>
  <c r="C12" i="12"/>
  <c r="B12" i="12"/>
  <c r="C11" i="12"/>
  <c r="B10" i="12"/>
  <c r="C10" i="12" s="1"/>
  <c r="B9" i="12"/>
  <c r="C9" i="12" s="1"/>
  <c r="C5" i="12"/>
  <c r="B5" i="12"/>
  <c r="B32" i="11"/>
  <c r="C32" i="11" s="1"/>
  <c r="C29" i="11"/>
  <c r="C26" i="11" s="1"/>
  <c r="B29" i="11"/>
  <c r="B26" i="11" s="1"/>
  <c r="B22" i="11"/>
  <c r="B21" i="11" s="1"/>
  <c r="B19" i="11"/>
  <c r="C19" i="11" s="1"/>
  <c r="B18" i="11"/>
  <c r="C18" i="11" s="1"/>
  <c r="B17" i="11"/>
  <c r="B13" i="11"/>
  <c r="C13" i="11" s="1"/>
  <c r="C12" i="11" s="1"/>
  <c r="B11" i="11"/>
  <c r="C11" i="11" s="1"/>
  <c r="C8" i="11" s="1"/>
  <c r="B6" i="11"/>
  <c r="C6" i="11" s="1"/>
  <c r="C5" i="11" s="1"/>
  <c r="B5" i="11"/>
  <c r="B16" i="19" l="1"/>
  <c r="C16" i="12"/>
  <c r="B26" i="15"/>
  <c r="C16" i="16"/>
  <c r="C18" i="19"/>
  <c r="C8" i="21"/>
  <c r="B16" i="15"/>
  <c r="C8" i="18"/>
  <c r="B12" i="11"/>
  <c r="C26" i="12"/>
  <c r="C8" i="16"/>
  <c r="B8" i="19"/>
  <c r="C18" i="22"/>
  <c r="C16" i="22" s="1"/>
  <c r="C8" i="20"/>
  <c r="C34" i="20" s="1"/>
  <c r="C43" i="20" s="1"/>
  <c r="C8" i="12"/>
  <c r="C34" i="12" s="1"/>
  <c r="B8" i="15"/>
  <c r="C18" i="20"/>
  <c r="B5" i="21"/>
  <c r="B12" i="15"/>
  <c r="B34" i="15" s="1"/>
  <c r="B42" i="15" s="1"/>
  <c r="C26" i="15"/>
  <c r="C16" i="19"/>
  <c r="C34" i="19" s="1"/>
  <c r="C43" i="19" s="1"/>
  <c r="B16" i="11"/>
  <c r="C5" i="16"/>
  <c r="B8" i="21"/>
  <c r="C9" i="22"/>
  <c r="C8" i="22" s="1"/>
  <c r="C34" i="22" s="1"/>
  <c r="C43" i="22" s="1"/>
  <c r="C11" i="23"/>
  <c r="C8" i="23" s="1"/>
  <c r="C34" i="23" s="1"/>
  <c r="C43" i="23" s="1"/>
  <c r="C16" i="13"/>
  <c r="C16" i="18"/>
  <c r="C34" i="15"/>
  <c r="C43" i="15" s="1"/>
  <c r="B34" i="14"/>
  <c r="B34" i="23"/>
  <c r="B34" i="22"/>
  <c r="B34" i="17"/>
  <c r="C34" i="21"/>
  <c r="C43" i="21" s="1"/>
  <c r="C22" i="11"/>
  <c r="C21" i="11" s="1"/>
  <c r="B8" i="12"/>
  <c r="B34" i="12" s="1"/>
  <c r="B30" i="22"/>
  <c r="B29" i="22" s="1"/>
  <c r="B26" i="22" s="1"/>
  <c r="B16" i="13"/>
  <c r="B34" i="13" s="1"/>
  <c r="B8" i="16"/>
  <c r="C17" i="17"/>
  <c r="C16" i="17" s="1"/>
  <c r="C34" i="17" s="1"/>
  <c r="C43" i="17" s="1"/>
  <c r="C17" i="11"/>
  <c r="C16" i="11" s="1"/>
  <c r="C34" i="11" s="1"/>
  <c r="C11" i="13"/>
  <c r="C8" i="13" s="1"/>
  <c r="B8" i="11"/>
  <c r="C10" i="14"/>
  <c r="C8" i="14" s="1"/>
  <c r="C34" i="14" s="1"/>
  <c r="C43" i="14" s="1"/>
  <c r="C13" i="16"/>
  <c r="C12" i="16" s="1"/>
  <c r="B16" i="18"/>
  <c r="B34" i="18" s="1"/>
  <c r="B12" i="19"/>
  <c r="C29" i="21"/>
  <c r="C26" i="21" s="1"/>
  <c r="B16" i="16"/>
  <c r="B8" i="20"/>
  <c r="B34" i="20" s="1"/>
  <c r="B34" i="19" l="1"/>
  <c r="B34" i="16"/>
  <c r="B43" i="15"/>
  <c r="B34" i="11"/>
  <c r="C34" i="18"/>
  <c r="C43" i="18" s="1"/>
  <c r="C34" i="16"/>
  <c r="C43" i="16" s="1"/>
  <c r="B34" i="21"/>
  <c r="C34" i="13"/>
  <c r="C43" i="13" s="1"/>
  <c r="B43" i="20"/>
  <c r="B42" i="20"/>
  <c r="B43" i="13"/>
  <c r="B42" i="13"/>
  <c r="B43" i="19"/>
  <c r="B42" i="19"/>
  <c r="B42" i="16"/>
  <c r="B43" i="16"/>
  <c r="B43" i="23"/>
  <c r="B42" i="23"/>
  <c r="B43" i="22"/>
  <c r="B42" i="22"/>
  <c r="B42" i="14"/>
  <c r="B43" i="14"/>
  <c r="B43" i="18"/>
  <c r="B42" i="18"/>
  <c r="B43" i="17"/>
  <c r="B42" i="17"/>
  <c r="B43" i="21" l="1"/>
  <c r="B42" i="21"/>
  <c r="C41" i="10"/>
  <c r="B41" i="10"/>
  <c r="C30" i="10"/>
  <c r="B30" i="10" s="1"/>
  <c r="B29" i="10" s="1"/>
  <c r="B26" i="10" s="1"/>
  <c r="C21" i="10"/>
  <c r="B21" i="10"/>
  <c r="C16" i="10"/>
  <c r="B16" i="10"/>
  <c r="B13" i="10"/>
  <c r="C13" i="10" s="1"/>
  <c r="C12" i="10" s="1"/>
  <c r="C8" i="10"/>
  <c r="B8" i="10"/>
  <c r="C5" i="10"/>
  <c r="B5" i="10"/>
  <c r="C41" i="9"/>
  <c r="B41" i="9"/>
  <c r="C29" i="9"/>
  <c r="C26" i="9" s="1"/>
  <c r="B29" i="9"/>
  <c r="B26" i="9"/>
  <c r="C21" i="9"/>
  <c r="B21" i="9"/>
  <c r="C18" i="9"/>
  <c r="B17" i="9"/>
  <c r="B16" i="9" s="1"/>
  <c r="C12" i="9"/>
  <c r="B12" i="9"/>
  <c r="C8" i="9"/>
  <c r="B8" i="9"/>
  <c r="C5" i="9"/>
  <c r="B5" i="9"/>
  <c r="C41" i="8"/>
  <c r="B41" i="8"/>
  <c r="C29" i="8"/>
  <c r="C26" i="8" s="1"/>
  <c r="B29" i="8"/>
  <c r="B26" i="8" s="1"/>
  <c r="C21" i="8"/>
  <c r="B21" i="8"/>
  <c r="C16" i="8"/>
  <c r="B16" i="8"/>
  <c r="C12" i="8"/>
  <c r="B12" i="8"/>
  <c r="C8" i="8"/>
  <c r="B8" i="8"/>
  <c r="C5" i="8"/>
  <c r="B5" i="8"/>
  <c r="B34" i="8" s="1"/>
  <c r="B43" i="8" s="1"/>
  <c r="C41" i="7"/>
  <c r="B41" i="7"/>
  <c r="C30" i="7"/>
  <c r="B30" i="7" s="1"/>
  <c r="B29" i="7" s="1"/>
  <c r="B26" i="7" s="1"/>
  <c r="C21" i="7"/>
  <c r="B21" i="7"/>
  <c r="C16" i="7"/>
  <c r="B16" i="7"/>
  <c r="C12" i="7"/>
  <c r="B12" i="7"/>
  <c r="C8" i="7"/>
  <c r="B8" i="7"/>
  <c r="C5" i="7"/>
  <c r="C34" i="7" s="1"/>
  <c r="C43" i="7" s="1"/>
  <c r="B5" i="7"/>
  <c r="C41" i="6"/>
  <c r="B41" i="6"/>
  <c r="B31" i="6"/>
  <c r="B30" i="6"/>
  <c r="C29" i="6"/>
  <c r="C26" i="6" s="1"/>
  <c r="C21" i="6"/>
  <c r="B21" i="6"/>
  <c r="B18" i="6"/>
  <c r="C18" i="6" s="1"/>
  <c r="C16" i="6" s="1"/>
  <c r="C12" i="6"/>
  <c r="B12" i="6"/>
  <c r="C8" i="6"/>
  <c r="B8" i="6"/>
  <c r="C5" i="6"/>
  <c r="B5" i="6"/>
  <c r="C41" i="5"/>
  <c r="B41" i="5"/>
  <c r="C32" i="5"/>
  <c r="B32" i="5"/>
  <c r="C31" i="5"/>
  <c r="B31" i="5" s="1"/>
  <c r="B29" i="5" s="1"/>
  <c r="B26" i="5" s="1"/>
  <c r="C21" i="5"/>
  <c r="B21" i="5"/>
  <c r="B17" i="5"/>
  <c r="B16" i="5" s="1"/>
  <c r="C16" i="5"/>
  <c r="C12" i="5"/>
  <c r="B12" i="5"/>
  <c r="C8" i="5"/>
  <c r="B8" i="5"/>
  <c r="C5" i="5"/>
  <c r="B5" i="5"/>
  <c r="C41" i="4"/>
  <c r="B41" i="4"/>
  <c r="C29" i="4"/>
  <c r="C26" i="4" s="1"/>
  <c r="B29" i="4"/>
  <c r="B26" i="4"/>
  <c r="C21" i="4"/>
  <c r="B21" i="4"/>
  <c r="B18" i="4"/>
  <c r="B17" i="4"/>
  <c r="C17" i="4" s="1"/>
  <c r="B13" i="4"/>
  <c r="C13" i="4" s="1"/>
  <c r="C12" i="4" s="1"/>
  <c r="B11" i="4"/>
  <c r="C11" i="4" s="1"/>
  <c r="B9" i="4"/>
  <c r="C9" i="4" s="1"/>
  <c r="C5" i="4"/>
  <c r="B5" i="4"/>
  <c r="C41" i="3"/>
  <c r="B41" i="3"/>
  <c r="C32" i="3"/>
  <c r="C29" i="3"/>
  <c r="B29" i="3"/>
  <c r="C27" i="3"/>
  <c r="B27" i="3" s="1"/>
  <c r="B26" i="3" s="1"/>
  <c r="C21" i="3"/>
  <c r="B21" i="3"/>
  <c r="B18" i="3"/>
  <c r="C18" i="3" s="1"/>
  <c r="B17" i="3"/>
  <c r="C17" i="3" s="1"/>
  <c r="C12" i="3"/>
  <c r="B12" i="3"/>
  <c r="B11" i="3"/>
  <c r="C11" i="3" s="1"/>
  <c r="B9" i="3"/>
  <c r="C9" i="3" s="1"/>
  <c r="C5" i="3"/>
  <c r="B5" i="3"/>
  <c r="C41" i="2"/>
  <c r="B41" i="2"/>
  <c r="C29" i="2"/>
  <c r="C26" i="2" s="1"/>
  <c r="B29" i="2"/>
  <c r="B26" i="2" s="1"/>
  <c r="C21" i="2"/>
  <c r="B21" i="2"/>
  <c r="B18" i="2"/>
  <c r="C18" i="2" s="1"/>
  <c r="B17" i="2"/>
  <c r="B13" i="2"/>
  <c r="C13" i="2" s="1"/>
  <c r="C12" i="2" s="1"/>
  <c r="B9" i="2"/>
  <c r="B8" i="2" s="1"/>
  <c r="C5" i="2"/>
  <c r="B5" i="2"/>
  <c r="B12" i="4" l="1"/>
  <c r="B16" i="4"/>
  <c r="C16" i="3"/>
  <c r="B16" i="6"/>
  <c r="B34" i="6" s="1"/>
  <c r="B29" i="6"/>
  <c r="B26" i="6" s="1"/>
  <c r="B34" i="7"/>
  <c r="B43" i="7" s="1"/>
  <c r="B34" i="9"/>
  <c r="B43" i="9" s="1"/>
  <c r="C34" i="8"/>
  <c r="C43" i="8" s="1"/>
  <c r="C17" i="9"/>
  <c r="C16" i="9" s="1"/>
  <c r="C34" i="9" s="1"/>
  <c r="C43" i="9" s="1"/>
  <c r="C26" i="3"/>
  <c r="C34" i="5"/>
  <c r="C43" i="5" s="1"/>
  <c r="C29" i="7"/>
  <c r="C26" i="7" s="1"/>
  <c r="B16" i="2"/>
  <c r="C8" i="4"/>
  <c r="C8" i="3"/>
  <c r="B42" i="7"/>
  <c r="C34" i="6"/>
  <c r="C43" i="6" s="1"/>
  <c r="C34" i="3"/>
  <c r="C43" i="3" s="1"/>
  <c r="C34" i="10"/>
  <c r="C43" i="10" s="1"/>
  <c r="B34" i="5"/>
  <c r="B34" i="4"/>
  <c r="C17" i="2"/>
  <c r="C16" i="2" s="1"/>
  <c r="C9" i="2"/>
  <c r="C8" i="2" s="1"/>
  <c r="B12" i="2"/>
  <c r="C18" i="4"/>
  <c r="C16" i="4" s="1"/>
  <c r="B8" i="3"/>
  <c r="B34" i="3" s="1"/>
  <c r="B16" i="3"/>
  <c r="B8" i="4"/>
  <c r="B12" i="10"/>
  <c r="B34" i="10" s="1"/>
  <c r="B42" i="8"/>
  <c r="C29" i="5"/>
  <c r="C26" i="5" s="1"/>
  <c r="C29" i="10"/>
  <c r="C26" i="10" s="1"/>
  <c r="B42" i="9" l="1"/>
  <c r="B34" i="2"/>
  <c r="B43" i="2" s="1"/>
  <c r="B42" i="6"/>
  <c r="B43" i="6"/>
  <c r="C34" i="4"/>
  <c r="C43" i="4" s="1"/>
  <c r="C34" i="2"/>
  <c r="C43" i="2" s="1"/>
  <c r="B43" i="10"/>
  <c r="B42" i="10"/>
  <c r="B42" i="2"/>
  <c r="B43" i="4"/>
  <c r="B42" i="4"/>
  <c r="B42" i="5"/>
  <c r="B43" i="5"/>
  <c r="B43" i="3"/>
  <c r="B42" i="3"/>
</calcChain>
</file>

<file path=xl/sharedStrings.xml><?xml version="1.0" encoding="utf-8"?>
<sst xmlns="http://schemas.openxmlformats.org/spreadsheetml/2006/main" count="4863" uniqueCount="1108">
  <si>
    <t>Southeast Asia</t>
  </si>
  <si>
    <t>Central and West Asia</t>
  </si>
  <si>
    <t>Brunei Darussalam</t>
  </si>
  <si>
    <t>Afghanistan</t>
  </si>
  <si>
    <t>Australia</t>
  </si>
  <si>
    <t>Cambodia</t>
  </si>
  <si>
    <t>Armenia</t>
  </si>
  <si>
    <t>Austria</t>
  </si>
  <si>
    <t>Indonesia</t>
  </si>
  <si>
    <t>Azerbaijan</t>
  </si>
  <si>
    <t>Belgium</t>
  </si>
  <si>
    <t>Lao People’s Democratic Republic</t>
  </si>
  <si>
    <t>Georgia</t>
  </si>
  <si>
    <t>Canada</t>
  </si>
  <si>
    <t>Malaysia</t>
  </si>
  <si>
    <t>Kazakhstan</t>
  </si>
  <si>
    <t>Denmark</t>
  </si>
  <si>
    <t>Myanmar</t>
  </si>
  <si>
    <t>Kyrgyz Republic</t>
  </si>
  <si>
    <t>Finland</t>
  </si>
  <si>
    <t>Philippines</t>
  </si>
  <si>
    <t>Pakistan</t>
  </si>
  <si>
    <t>France</t>
  </si>
  <si>
    <t>Singapore</t>
  </si>
  <si>
    <t>Tajikistan</t>
  </si>
  <si>
    <t>Germany</t>
  </si>
  <si>
    <t>Thailand</t>
  </si>
  <si>
    <t>Turkmenistan</t>
  </si>
  <si>
    <t>Ireland</t>
  </si>
  <si>
    <t>Timor-Leste</t>
  </si>
  <si>
    <t>Uzbekistan</t>
  </si>
  <si>
    <t>Italy</t>
  </si>
  <si>
    <t>Viet Nam</t>
  </si>
  <si>
    <t>Japan</t>
  </si>
  <si>
    <t>East Asia</t>
  </si>
  <si>
    <t>Luxembourg</t>
  </si>
  <si>
    <t>Hong Kong, China</t>
  </si>
  <si>
    <t>Cook Islands</t>
  </si>
  <si>
    <t>Mongolia</t>
  </si>
  <si>
    <t>New Zealand</t>
  </si>
  <si>
    <t>Federated States of Micronesia</t>
  </si>
  <si>
    <t xml:space="preserve">People’s Republic of China </t>
  </si>
  <si>
    <t>Norway</t>
  </si>
  <si>
    <t>Fiji</t>
  </si>
  <si>
    <t xml:space="preserve">Republic of Korea </t>
  </si>
  <si>
    <t>Portugal</t>
  </si>
  <si>
    <t>Kiribati</t>
  </si>
  <si>
    <t>Taipei,China</t>
  </si>
  <si>
    <t>Spain</t>
  </si>
  <si>
    <t>Marshall Islands</t>
  </si>
  <si>
    <t>Sweden</t>
  </si>
  <si>
    <t>Nauru</t>
  </si>
  <si>
    <t>South Asia</t>
  </si>
  <si>
    <t>Switzerland</t>
  </si>
  <si>
    <t>Niue</t>
  </si>
  <si>
    <t>Bangladesh</t>
  </si>
  <si>
    <t>Turkey</t>
  </si>
  <si>
    <t>Palau</t>
  </si>
  <si>
    <t>Bhutan</t>
  </si>
  <si>
    <t>United Kingdom</t>
  </si>
  <si>
    <t>Papua New Guinea</t>
  </si>
  <si>
    <t>India</t>
  </si>
  <si>
    <t>United States</t>
  </si>
  <si>
    <t>Samoa</t>
  </si>
  <si>
    <t>Maldives</t>
  </si>
  <si>
    <t>European Central Bank</t>
  </si>
  <si>
    <t>Solomon Islands</t>
  </si>
  <si>
    <t>Nepal</t>
  </si>
  <si>
    <t>European Union</t>
  </si>
  <si>
    <t>Tonga</t>
  </si>
  <si>
    <t>Sri Lanka</t>
  </si>
  <si>
    <t>Tuvalu</t>
  </si>
  <si>
    <t>Vanuatu</t>
  </si>
  <si>
    <t>As of 20 April 2020:</t>
  </si>
  <si>
    <t>[Back to Index]</t>
  </si>
  <si>
    <t>Measures</t>
  </si>
  <si>
    <t>Amount (CAD)</t>
  </si>
  <si>
    <t>Amount (USD)</t>
  </si>
  <si>
    <t>Notes</t>
  </si>
  <si>
    <t>Sources</t>
  </si>
  <si>
    <t>1. Actions to support normal functioning of money markets: all sectors except national government, short term (&lt; 1 year)</t>
  </si>
  <si>
    <t>• Actions that increase liabilities to the central bank or government (standing/stabilization/repo facility)</t>
  </si>
  <si>
    <t>No amount/estimate: The Bank of Canada (BoC) (i) temporarily adds new Term Repo operations with terms of 6 and 12 months; (ii) launched the Bankers' Acceptance Purchase Facility; and (iii) announced the Commercial Paper Purchase Program.</t>
  </si>
  <si>
    <t>IMF. https://www.imf.org/en/Topics/imf-and-covid19/Policy-Responses-to-COVID-19 (accessed 19 April 2020).</t>
  </si>
  <si>
    <t>• Non-lending actions (relax liquidity regulations, wider range of collateral accepted, reserve requirements)</t>
  </si>
  <si>
    <t>No amount/estimate:  BoC is also (i) expanding the list of eligible collateral for Term Repo operations to the full range of eligible collateral for the Standing Liquidity Facility (SLF), except the Non-Mortgage Loan Portfolio (NMLP); and (ii) announced an increase in the target for settlement balances to CAD1 billion from CAD0.25 billion</t>
  </si>
  <si>
    <t>IMF. https://www.imf.org/en/Topics/imf-and-covid19/Policy-Responses-to-COVID-19 (accessed 11  April 2020).</t>
  </si>
  <si>
    <t>2. Encouraging private credit creation: financial sector, long term (≥ 1 year)</t>
  </si>
  <si>
    <r>
      <t>• Actions that increase liabilities to the central bank or government (</t>
    </r>
    <r>
      <rPr>
        <u/>
        <sz val="12"/>
        <color theme="1"/>
        <rFont val="Tahoma"/>
        <family val="2"/>
      </rPr>
      <t>secondary market</t>
    </r>
    <r>
      <rPr>
        <sz val="12"/>
        <color theme="1"/>
        <rFont val="Tahoma"/>
        <family val="2"/>
      </rPr>
      <t xml:space="preserve"> purchases, asset purchases, corporate bonds, long term)</t>
    </r>
  </si>
  <si>
    <t>Under the Insured Mortgage Purchase Program, the government will purchase up to CAD150 billion of insured mortgage pools through the Canada Mortgage and Housing Corporation (CMHC).</t>
  </si>
  <si>
    <t>• Non-lending actions (interest rates, capital requirements, lending standards, oversight, etc.)</t>
  </si>
  <si>
    <t>No amount/estimate: (i) March, BoC reduced the overnight policy rate by 150 bps (to 0.25%); (ii) Office of the Superintendent of Financial Institutions (OSFI), the bank regulator, lowered the Domestic Stability Buffer for D-SIBs to 1% of risk weighted assets (previously 2.25%).</t>
  </si>
  <si>
    <t>• Loan guarantees</t>
  </si>
  <si>
    <t>3. Lending to nonfinancial sector: business, households, and local governments (≥ 1 year)</t>
  </si>
  <si>
    <r>
      <t>• Actions that increase liabilities to the central bank or government (</t>
    </r>
    <r>
      <rPr>
        <u/>
        <sz val="12"/>
        <color theme="1"/>
        <rFont val="Tahoma"/>
        <family val="2"/>
      </rPr>
      <t>primary market</t>
    </r>
    <r>
      <rPr>
        <sz val="12"/>
        <color theme="1"/>
        <rFont val="Tahoma"/>
        <family val="2"/>
      </rPr>
      <t>, direct loans)</t>
    </r>
  </si>
  <si>
    <t>The federal government announced CAD65 billion in credit facilities to lend to firms under stress.
Farm Credit Canada will receive support from the federal government that will allow for an additional CAD5 billion in lending capacity to producers, agribusinesses, and food processors.</t>
  </si>
  <si>
    <t>• Forbearance</t>
  </si>
  <si>
    <t>4. Equity claims on the private sector (equities, primary and/or secondary, ETFs, etc.)</t>
  </si>
  <si>
    <t>5. Direct support to income/revenue (total)</t>
  </si>
  <si>
    <t>• Health</t>
  </si>
  <si>
    <t>CAD3.175 billion (0.1%  of GDP) support to the health system for (i) increased testing, (ii) vaccine development, (iii) medical supplies, (iv) mitigation efforts, and (v) greater support for indigenous communities.</t>
  </si>
  <si>
    <t>• Non-health</t>
  </si>
  <si>
    <t>(i) CAD105 billion (4.6% of GDP) direct aid to households, including (a) payments to workers without sick leave, (b) access to employment insurance, (c) an increase in existing GST tax credits, (d) child care benefits, and (e) new distinctions-based Indigenous Community Support Fund; (ii) CAD85 billion (3.7% of GDP) support to businesses through income and sales tax deferrals.</t>
  </si>
  <si>
    <t>6. Redirecting or reallocating previously budgeted spending (total)</t>
  </si>
  <si>
    <t>• Allocated</t>
  </si>
  <si>
    <t>7. Central bank purchases of government bonds (total)</t>
  </si>
  <si>
    <t xml:space="preserve">No amount/estimate: An extension of the bond buyback program across all maturities. </t>
  </si>
  <si>
    <t>IMF. https://www.imf.org/en/Topics/imf-and-covid19/Policy-Responses-to-COVID-19 (accessed 11 April 2020).</t>
  </si>
  <si>
    <r>
      <t xml:space="preserve">• </t>
    </r>
    <r>
      <rPr>
        <sz val="12"/>
        <rFont val="Tahoma"/>
        <family val="2"/>
      </rPr>
      <t>Direct lending (total)</t>
    </r>
  </si>
  <si>
    <t xml:space="preserve">    ○ Allocated</t>
  </si>
  <si>
    <r>
      <t xml:space="preserve">• </t>
    </r>
    <r>
      <rPr>
        <sz val="12"/>
        <rFont val="Tahoma"/>
        <family val="2"/>
      </rPr>
      <t>Purchases of bonds (total)</t>
    </r>
  </si>
  <si>
    <t>8. International assistance</t>
  </si>
  <si>
    <t>• Swaps and clearing arrangements</t>
  </si>
  <si>
    <t xml:space="preserve">No amount/estimate: BoC together with central banks from Japan, Euro Area, UK, US, and Switzerland, announced a coordinated central bank action to further enhance the provision of liquidity via the standing US dollar liquidity swap line arrangements. </t>
  </si>
  <si>
    <t xml:space="preserve">IMF. https://www.imf.org/en/Topics/imf-and-covid19/Policy-Responses-to-COVID-19 (accessed 11  April 2020); 
Bloomberg. https://www.bloomberg.com/news/articles/2020-03-15/central-banks-coordinate-to-ensure-dollar-liquidity-around-world (accessed on 12 April 2020). </t>
  </si>
  <si>
    <t>• Foreign exchange market interventions</t>
  </si>
  <si>
    <t>• International loans and grants (total)</t>
  </si>
  <si>
    <t xml:space="preserve">   ○ Asian Development Bank</t>
  </si>
  <si>
    <t xml:space="preserve">   ○ Others</t>
  </si>
  <si>
    <t xml:space="preserve">9. No breakdown </t>
  </si>
  <si>
    <t>Sum of Measures 1 to 5</t>
  </si>
  <si>
    <t>Forex as of March 2020</t>
  </si>
  <si>
    <t>2019 GDP</t>
  </si>
  <si>
    <t>2018 Population</t>
  </si>
  <si>
    <t>CAD per person</t>
  </si>
  <si>
    <t>USD per person</t>
  </si>
  <si>
    <t>GDP per capita</t>
  </si>
  <si>
    <t>Sum of Measures 1 to 5 as % of GDP</t>
  </si>
  <si>
    <t xml:space="preserve">Sum of Measures 1 to 5 per capita </t>
  </si>
  <si>
    <t>Other Economic Measures</t>
  </si>
  <si>
    <t>-na</t>
  </si>
  <si>
    <t>Non-Economic Measures</t>
  </si>
  <si>
    <t xml:space="preserve">1. Travel restrictions. </t>
  </si>
  <si>
    <t xml:space="preserve">2. Social distancing measures. </t>
  </si>
  <si>
    <t>3. Declarations of states of emergency.</t>
  </si>
  <si>
    <t>4. Closures of non-essential businesses in some provinces.</t>
  </si>
  <si>
    <t>Source: IMF. https://www.imf.org/en/Topics/imf-and-covid19/Policy-Responses-to-COVID-19 (accessed 12  April 2020).</t>
  </si>
  <si>
    <t>Amount (AUD)</t>
  </si>
  <si>
    <t xml:space="preserve">No amount/estimate: To support liquidity, the Reserve Bank of Australia (RBA) will conduct one-month and three-month repo operations daily until further notice. </t>
  </si>
  <si>
    <t>IMF. https://www.imf.org/en/Topics/imf-and-covid19/Policy-Responses-to-COVID-19 (accessed 11  April 2020); 
Reserve Bank of Australia: https://www.rba.gov.au/speeches/2020/sp-gov-2020-03-19.html</t>
  </si>
  <si>
    <t>(i) The government is allocating up to AUD15 billion to invest in residential mortgage-backed securities and asset-backed securities to help funding for small banks and non-bank financial institutions (See Measure 9: No breakdown); (ii) To allow banks to lend more to SMEs during the period of disruption caused by COVID-19, RBA has established a Term Funding Facility (TFF) of at least AUD90 billion for SMEs lending (TFF will offer three-year funding to authorised deposit-taking institutions [ADIs]).</t>
  </si>
  <si>
    <t>IMF. https://www.imf.org/en/Topics/imf-and-covid19/Policy-Responses-to-COVID-19 (accessed 11  April 2020); 
Reserve Bank of Australia. https://www.rba.gov.au/mkt-operations/term-funding-facility/ (accessed 16 April 2020).</t>
  </si>
  <si>
    <t>No amount/estimate: (i) March 3 and 19, The policy rate was cut by 25 basis points twice to 0.25%; (ii) The Australian Prudential Regulation Authority (APRA) has (a) provided temporary relief from its capital requirement, allowing banks to utilize some of their current large buffers to facilitate ongoing lending to the economy as long as minimum capital requirements are met, and (b) March 30, announced that it is deferring its scheduled implementation of the Basel III reforms in Australia by one year to January 2023.</t>
  </si>
  <si>
    <t>IMF. https://www.imf.org/en/Topics/imf-and-covid19/Policy-Responses-to-COVID-19 (accessed 11  April 2020); 
Reserve Bank of Australia: https://www.rba.gov.au/speeches/2020/sp-gov-2020-03-19.html (accessed 11  April 2020).</t>
  </si>
  <si>
    <t>Under a new Coronavirus SME Guarantee Scheme, the Government will guarantee 50% of new loans issued by eligible lenders to SMEs with total lending capacity of AUD40 billion (2% of GDP) (AUD20 billion of the total AUD40 biilion is lumped in the AUD194 billion package. See Measure 9: No breakdown).</t>
  </si>
  <si>
    <t>IMF. https://www.imf.org/en/Topics/imf-and-covid19/Policy-Responses-to-COVID-19 (accessed 11  April 2020);
OECD. http://www.oecd.org/coronavirus/en/ (accessed 11  April 2020);
Department of the Treasury, Government of Australia. https://treasury.gov.au/coronavirus/sme-guarantee-scheme (accessed 16 April 2020).</t>
  </si>
  <si>
    <t xml:space="preserve">The Commonwealth government has (i) committed to spend almost an extra AUD5 billion (0.3% of GDP) to strengthen the health system and protect the vulnerable people, including those in aged care, from the outbreak of COVID-19; and (ii) introduced temporary measures to ensure the continuity of aged care, amounting to an additional AUD544.6 million. </t>
  </si>
  <si>
    <t>(i) AUD194 billion (9.7% of GDP) support on measures including (a) wage subsidies (6.7% of GDP), (b) income support to households, (c) cash flow support to businesses, (d) investment incentives, (e) targeted measures for affected regions and industries, and (f) an advance authorization of AUD40 billion for unforeseen events. (See Measure 9: No breakdown); (ii) State and territory governments announced stimulus packages of a total of AUD11.5 billion (0.6% of GDP) including payroll tax relief for businesses and relief for households, such as (a) discount utility bills, (b) cash payments to vulnerable households, and (c) support for health spending.</t>
  </si>
  <si>
    <t>No amount/measure: The RBA has announced yield targeting on 3-year government bonds at 0.25% through purchases of government bonds in the secondary market.</t>
  </si>
  <si>
    <t>RBA has established a swap line with the US Federal Reserve for the provision of US dollar liquidity in amounts up to USD60 billion. Amount oustanding as of April 16: USD1.15 billion.</t>
  </si>
  <si>
    <t>IMF. https://www.imf.org/en/Topics/imf-and-covid19/Policy-Responses-to-COVID-19 (accessed 11  April 2020); New York FED. https://apps.newyorkfed.org/markets/autorates/fxswap (accessed 20 April 2020).</t>
  </si>
  <si>
    <t>The exchange rate has been allowed to adjust flexibly to absorb economic shocks.</t>
  </si>
  <si>
    <t xml:space="preserve">Three economic stimulus packages, i.e. (i) support to individuals; (ii) support to businesses; and (iii) support to to flow of credit are put in place at the Commonwealth level, with total expenditure and revenue measures of AUD194 billion (9.7% of GDP) through FY2023-24, the majority of which to be executed in FY2019-20 and FY2020-21 (See Measure 2: Actions that increase liabilities to the central bank or government and loan guarantees; and Measure 5: Direct support to income/revenue). </t>
  </si>
  <si>
    <t>IMF. https://www.imf.org/en/Topics/imf-and-covid19/Policy-Responses-to-COVID-19 (accessed 11  April 2020); 
Department of the Treasury, Government of Australia. https://treasury.gov.au/coronavirus (accessed 16 April 2020).</t>
  </si>
  <si>
    <t>Measure 9 is added to the sum of Measures 1 to 5.</t>
  </si>
  <si>
    <t>Forex as of February 2020</t>
  </si>
  <si>
    <t>AUD per person</t>
  </si>
  <si>
    <t>1. Travel restrictions, screening travelers who arrive in Australia and ensuring they self-isolate on arrival, continuing with border surveillance.</t>
  </si>
  <si>
    <t>2. Enforcing social distancing measures, testing people suspected of the disease, and isolating people with the virus and their close contacts.</t>
  </si>
  <si>
    <t>3. Increasing of health system capacity.</t>
  </si>
  <si>
    <t>4. Delivering support to Australians experiencing domestic, family and sexual violence due to the fallout of coronavirus.</t>
  </si>
  <si>
    <t>5. Putting limits on some prescription and over the counter medications, to make sure those who need them can access them.</t>
  </si>
  <si>
    <t>Source: Department of Health, Australian Government: https://www.health.gov.au/news/health-alerts/novel-coronavirus-2019-ncov-health-alert/government-response-to-the-covid-19-outbreak</t>
  </si>
  <si>
    <t>Amount (NZD)</t>
  </si>
  <si>
    <t>No amount/estimate: The Reserve Bank of New Zealand (RBNZ) (i) announced a corporate facility that will offer up to NZD500 million per week in open market operations with banks against corporate paper and asset-backed securities for 3 months; and (ii) established a new Term Auction Facility (TAF), which allows banks access to collateralized loans of up to 12 months.</t>
  </si>
  <si>
    <t>IMF. https://www.imf.org/en/Topics/imf-and-covid19/Policy-Responses-to-COVID-19 (accessed 12  April 2020).</t>
  </si>
  <si>
    <r>
      <t>• Actions that increase liabilities to the central bank or government (</t>
    </r>
    <r>
      <rPr>
        <u/>
        <sz val="12"/>
        <rFont val="Tahoma"/>
        <family val="2"/>
      </rPr>
      <t>secondary market</t>
    </r>
    <r>
      <rPr>
        <sz val="12"/>
        <rFont val="Tahoma"/>
        <family val="2"/>
      </rPr>
      <t xml:space="preserve"> purchases, asset purchases, corporate bonds, long term)</t>
    </r>
  </si>
  <si>
    <t xml:space="preserve">(i) The RBNZ has been implementing a Large-Scale Asset Program (LSAP) to purchase government bonds in the secondary market up to NZD30 billion across a range of maturities. The RBNZ, announced subsequently on April 7, that it has added NZD3 billion (equivalent to 30% on issue) of Local Government Funding Agency (LGFA) debt to the LSAP, taking the total size of the LSAP to NZD33 billion over 12 months; and (ii) The RBNZ is introducing a Term Lending Facility (TLF), a longer-term funding scheme for banks at low interest rates for up to 3 years duration. </t>
  </si>
  <si>
    <t>IMF. https://www.imf.org/en/Topics/imf-and-covid19/Policy-Responses-to-COVID-19 (accessed 12  April 2020);
Reserve Bank of New Zealand. https://www.rbnz.govt.nz/news/2020/03/rbnz-to-implement-30bn-large-scale-asset-purchase-programme-of-nz-govt-bonds (accessed 12 April 2020).</t>
  </si>
  <si>
    <t>No amount/estimate: (i) RBNZ (a) on March 27, cut the official cash rate (OCR) by 75 basis points to 0.25% (at least 12 months), and (b) reduced bank’s core funding ratio requirement to 50% from 75% to help banks make credit available; (ii) The implementation date of regulatory reform requiring higher capital for banks has been postponed to July 2021; (iii) Other regulatory initiatives are also put on hold; (iv) RBNZ announced that there will be no dividend payments on ordinary shares and redemption of non-CET1 capital instruments.</t>
  </si>
  <si>
    <t xml:space="preserve">NZD6.25 billion business finance guarantee scheme for SME loans, in which the government covers 80% of the credit risk. </t>
  </si>
  <si>
    <r>
      <t>• Actions that increase liabilities to the central bank or government (</t>
    </r>
    <r>
      <rPr>
        <u/>
        <sz val="12"/>
        <rFont val="Tahoma"/>
        <family val="2"/>
      </rPr>
      <t>primary market</t>
    </r>
    <r>
      <rPr>
        <sz val="12"/>
        <rFont val="Tahoma"/>
        <family val="2"/>
      </rPr>
      <t>, direct loans)</t>
    </r>
  </si>
  <si>
    <t xml:space="preserve">NZD0.9 billion debt funding agreement (convertible to equity) with Air New Zealand to ensure continued freight operations, domestic flights and limited international flights. </t>
  </si>
  <si>
    <t>No amount/estimate: (i) NZL government, RBNZ, and the New Zealand Bankers Association announced a six-month principal and interest repayment deferrals to mortgage holders and small and medium enterprises (SME) affected by COVID-19; (ii) The government has also committed to a temporary law change to enable businesses to put existing debt into hibernation for six months.</t>
  </si>
  <si>
    <t>(i) NZD0.5 billion (0.2% of GDP) for healthcare-related spending to reinforce capacity; and (ii) No amount/estimate: March 28, the government announced temporary removal of tariffs on all medical and hygiene imports needed for the COVID-19 response.</t>
  </si>
  <si>
    <t>IMF. https://www.imf.org/en/Topics/imf-and-covid19/Policy-Responses-to-COVID-19 (accessed 19  April 2020).</t>
  </si>
  <si>
    <t>(i) Total NZD2.4 billion (0.8% of GDP) as permanent increase in social spending to protect vulnerable people over the next four years; (ii) NZD13 billion (4.3% of GDP), a lump sum 12-week wage subsidy to support employers severely affected by the impact of COVID-19; (iii) NZD2.8 billion (0.9% of GDP) of permanent change in business taxes to help cashflow over the next four years; (iv) NZ$3.1 billion as temporary tax loss carry-back scheme (1% of GDP) over next two years; (v) NZD0.6 billion (0.2% of GDP) support for the aviation sector; (vi) No amount/measure: 6-month freeze on residential rent increases and increased protections for tenants for termination of tenancies.</t>
  </si>
  <si>
    <t xml:space="preserve">The RBNZ has been providing liquidity in the foreign exchange swap market and re-established a temporary US dollar swap line (USD30 billion) with the US Federal Reserve. </t>
  </si>
  <si>
    <t>No amount/estimate: The exchange rate has been allowed to adjust flexibly and has depreciated by about 11% year-to-date.</t>
  </si>
  <si>
    <t>NZD per person</t>
  </si>
  <si>
    <t>March 28, the government announced temporary removal of tariffs on all medical and hygiene imports needed for the COVID-19 response.</t>
  </si>
  <si>
    <t>1. Social distancing measures and closure of all non-essential businesses, cancellation of all events and gatherings, closure of schools, and cancellation of discretionary domestic air travel.</t>
  </si>
  <si>
    <t>2. Closing of the borders to all but New Zealand citizens, who must self-isolate for at least 14 days upon entry.</t>
  </si>
  <si>
    <t>Amount (KHR)</t>
  </si>
  <si>
    <t>No amount/estimate: The government will disburse special low-interest loans to specialized banks, in addition to packages issued to small and medium enterprises (SME) and rice producers (See Measure 9: No breakdown).</t>
  </si>
  <si>
    <t>IMF. https://www.imf.org/en/Topics/imf-and-covid19/Policy-Responses-to-COVID-19 (accessed 13 April 2020).</t>
  </si>
  <si>
    <t xml:space="preserve">No amount/estimate: (i) The National Bank of Cambodia (NBC) announced that there will be a lowering of required reserves that banking and financial institutions must maintain at the NBC both for local (riel) and foreign currencies; (ii) The Central Bank has also issued guidelines to financial institutions on loan restructuring for borrowers experiencing financial difficulties (but still performing) in priority sectors (tourism, garments, construction, transportation and logistics). </t>
  </si>
  <si>
    <t>No amount/estimate: The NBC has implemented measures, such as (i) delaying additional increases in the Capital Conservation Buffer, (ii) cutting the interest rate in its Liquidity Providing Collateralized Operations that decreases banks’ funding costs in domestic currency, (iii) cutting the interest rate on Negotiable Certificates of Deposit (the collateral for LPCOs) to encourage banks to disburse loans.</t>
  </si>
  <si>
    <t>Additional fiscal resources to the health sector of around USD70 million (around 0.2% of GDP) are expected.</t>
  </si>
  <si>
    <t>No amount/estimate: The government has announced a package of (i) tax concessions, (ii) expenditure support, and (iii) credit support (See Measure 9: No breakdown).</t>
  </si>
  <si>
    <t xml:space="preserve">No amount/estimate: (i) Government spending is to be redirected to (a) combatting the virus, (b) social protection, especially of the poor and unemployed, (c) supporting businesses and jobs, and (d) maintaining security; (ii) Savings on current spending of about USD30 million are also planned; and (iii) Capital spending is to be streamlined by around USD370 million (See Measure 9: No breakdown). </t>
  </si>
  <si>
    <t xml:space="preserve">No amount/estimate: Cambodia continues to maintain managed floating exchange rate. </t>
  </si>
  <si>
    <t xml:space="preserve">World Bank: (i) USD20 million credit for the Cambodia COVID-19 Emergency Response Project, as part of the first tranche of emergency support operations through a dedicated fast-track COVID-19 facility; (ii) USD14 million of the H-EQIP project funds was allocated through a Contingency Emergency Response Component (CERC) to purchase ambulances and medical equipment and to quickly develop national laboratory capacity to rapidly respond to the COVID-19 pandemic. </t>
  </si>
  <si>
    <t>World Bank. https://www.worldbank.org/en/news/press-release/2020/04/02/world-bank-approves-20-million-for-cambodias-covid-19-coronavirus-response (accessed 13 April 2020).</t>
  </si>
  <si>
    <t xml:space="preserve">The government has put together a USD2 billion stimulus package for eventual loss of jobs of the factory workers. This measure is an attempt to revive the economy (See Measures 1, 5, and 6). </t>
  </si>
  <si>
    <t>CNBC interview with the National Bank of Cambodia. https://www.msn.com/en-us/video/t/cambodian-lenders-have-ample-liquidity-to-last-until-end-2020-says-central-bank/vp-BB12xZ7R (accessed 14 April 2020).</t>
  </si>
  <si>
    <t>KHR per person</t>
  </si>
  <si>
    <t>The government has ordered the suspension of white rice exports, to secure domestic supplies.</t>
  </si>
  <si>
    <t>Source: IMF. https://www.imf.org/en/Topics/imf-and-covid19/Policy-Responses-to-COVID-19#C (accessed 13 April 2020)</t>
  </si>
  <si>
    <t>1. The government has announced foreigners wishing to travel to Cambodia need to obtain a visa at a Cambodian diplomatic mission abroad, a health certificate before departure, and sufficient travel insurance.</t>
  </si>
  <si>
    <t>2. Quarantine and self-isolation measures.</t>
  </si>
  <si>
    <t xml:space="preserve">3. Schools and casinos are closed and the government has banned public events with more than 50 participants. </t>
  </si>
  <si>
    <t>4. The Khmer New Year break has been cancelled.</t>
  </si>
  <si>
    <t>Amount (BTN/INR)</t>
  </si>
  <si>
    <t>No amount/estimate: provision of working capital at 5% interest for wholesale distributors authorized by the Ministry of Economic Affairs (MoEA) for a period of 3 months, extendable by 3 months to enable them to procure adequate stocks and ensure uninterrupted supply of essential items at reasonable price.</t>
  </si>
  <si>
    <t>IMF. https://www.imf.org/en/Topics/imf-and-covid19/Policy-Responses-to-COVID-19 (accessed 13  April 2020).</t>
  </si>
  <si>
    <t>The National Resilience Fund has been approved and established. With a fund size amounting to about BTN30 billion, the resources will support the implementation of the following activities: No amount/estimate: (i) Grant of the Druk Gyalpo’s Relief Kidu to people who have been laid off or placed on reduced salaries to provide them immediate financial support; (ii) Interest payment relief to the borrowers facing difficulties in fulfilling their loan repayment obligations due to the current economic downturn. The relief includes deferment of loan repayment by three months and waiver on interest payment for loans from April to June 2020; (iii) The government will finance 50% of the total interest payment and the financial institutions offered to support the other 50%; (iv) fast-track the implementation of the 12th five year plan and wherever possible frontload the investments.</t>
  </si>
  <si>
    <t>Official Statement from the Office of the Prime Minister of Bhutan. https://bit.ly/2yrZXYx (accessed 13 April 2020).</t>
  </si>
  <si>
    <t>TA9950-REG: Regional Support to Address the Outbreak of Coronavirus Disease 2019 and Potential Outbreaks of Other Communicable Diseases (USD0.1 million)</t>
  </si>
  <si>
    <t>ADB</t>
  </si>
  <si>
    <t>World Food Program donated two mobile storage units to help authorities preposition food to meet the needs of half the population for three months. The storage units has a capacity of 500 metric ton each and worth a total of USD45,000.</t>
  </si>
  <si>
    <t>World Food Programme. https://www.wfp.org/news/wfp-extends-food-security-assistance-royal-government-bhutan-covid-19-response (accessed 13 April 2020).</t>
  </si>
  <si>
    <t>BTN/INR per person</t>
  </si>
  <si>
    <t>1. Office of Consumer Protection has published market price information of essential commodities as of March 11, 2020, to monitor and keep track of price movement in the market and provide information to consumers for informed purchase decision.</t>
  </si>
  <si>
    <t>2. On March 24, ban on select food product (e.g., betel leaf, betel nut) import from India has been imposed to curb the spread of COVID-19.</t>
  </si>
  <si>
    <t>1. Bhutan started imposing containment measures immediately after the first case was recorded on 6 March 2020, with restriction of entry of foreign tourists initially for two weeks but extended afterwards and closure of schools in three cities.</t>
  </si>
  <si>
    <t>2. March 22, Bhutan sealed off its land borders as a precautionary measure to prevent the spread of COVID-19. For non-Bhutanese, exits are allowed. Incoming non-Bhutanese are scrutinized and quarantined where applicable.</t>
  </si>
  <si>
    <t>3. March 27, more containment measures were imposed on public gatherings, travel (within and outside Bhutan), business and entertainment, games and sports and civil service, corporate, private, and other agencies. The quarantine period has been extended to April 21, 2020.</t>
  </si>
  <si>
    <t xml:space="preserve">4. Healthcare measures include setting up dedicated hospitals and quarantine centers. </t>
  </si>
  <si>
    <t>Amount (UZS)</t>
  </si>
  <si>
    <t>No amount/estimate: April 14, Uzbekistan’s central bank cut policy rates by 100 basis points, from 16% to 15%.</t>
  </si>
  <si>
    <t>Central Bank of Uzbekistan. https://cbu.uz/en/monetary-policy/operations/refinancing-rate/ (accessed 18 April 2020).</t>
  </si>
  <si>
    <t>No amount/estimate: (i) The Central Bank suggested banks defer loan payments for firms in sectors affected by COVID-19; (ii) State-owned banks are extending maturities of loan repayments for the affected sectors, including for the national air carrier.</t>
  </si>
  <si>
    <t>IMF. https://www.imf.org/en/Topics/imf-and-covid19/Policy-Responses-to-COVID-19 (accessed 14 April 2020).</t>
  </si>
  <si>
    <t>No amount/estimate: Expand funding for healthcare, including for (i) medicines, (ii) the costs of quarantines, and (iii) salary supplement for medical employees.</t>
  </si>
  <si>
    <t>No amount/estimate: (i) Increase the number of low-income families receiving social benefits; (ii) Provide assistance to affected businesses via interest subsidies; (iii) Finance public works in different regions to improve infrastructure and support employment; (iv) Temporary reduction of social contributions for individual entrepreneurs; (v) Postponing surcharges on tourism, property tax, and land tax; (vi) Extending the moratorium on tax audits; (vii) Delaying tax declarations for 2019 income taxes (until August); (viii) The central government also asked local governments to (a) reduce taxes by 30 percent; and (b) provide a 6-month grace period on paying property tax.</t>
  </si>
  <si>
    <t>(i) REG: COVID-19 Emergency Response (USD0.05 million); (ii) Procurement of essential and emergency supplies and equipment through TA 9950 (USD0.2 million).</t>
  </si>
  <si>
    <t>UZS per person</t>
  </si>
  <si>
    <t xml:space="preserve">1. Restricting travel (including international flights, domestic public transportation, and movement by car). </t>
  </si>
  <si>
    <t xml:space="preserve">2. Closing borders (except for trade), closing schools and universities and all stores except grocery stores and pharmacies. </t>
  </si>
  <si>
    <t>3. Quarantine and self-isolation measures.</t>
  </si>
  <si>
    <t xml:space="preserve">4. Cancelling public events and religious gatherings. </t>
  </si>
  <si>
    <t>IMF. https://www.imf.org/en/Topics/imf-and-covid19/Policy-Responses-to-COVID-19#U (accessed 14 April 2020).</t>
  </si>
  <si>
    <t xml:space="preserve">na </t>
  </si>
  <si>
    <t>As of 17 April 2020:</t>
  </si>
  <si>
    <t>The government has announced AUD5.6 million supplementary budget for the Ministry of Health, which will be used for (i) specialized medical equipment, (ii) enhanced laboratory capabilities, (iii) upgrading of health facilities, and (iv) increased surveillance measures to address the coronavirus threat.</t>
  </si>
  <si>
    <t>The government has approved AUD200,000 in supplementary appropriation as a Coronavirus contingency fund.</t>
  </si>
  <si>
    <t>1. Tuvalu has established a COVID-19 National Taskforce that will act as an Advisory body to Cabinet and provide updates on a regular basis.</t>
  </si>
  <si>
    <t>Source: IMF. https://www.imf.org/en/Topics/imf-and-covid19/Policy-Responses-to-COVID-19#T (accessed 14 April 2020).</t>
  </si>
  <si>
    <t>Amount (VUV)</t>
  </si>
  <si>
    <t>No amount/estimate: March 27, The Reserve Bank of Vanuatu cut its policy rate from 2.9% to 2.25%.</t>
  </si>
  <si>
    <t>March 27, the Vanuatu National Provident Fund (VNPF) offered a VUV800 million worth of Hardship Loans, an interest-free withdrawal from a member’s account for 6 months of up to VUV100,000, after which the member either choses a repayment plan with interest or permanently withdraws the funds with a penalty, to approximately 15,000 members.</t>
  </si>
  <si>
    <t>No amount/estimate: (i) The government, using its existing budget envelope with help from Australia, The People's Republic of China (PRC), New Zealand, UNICEF, WHO, other NGOs/CSOs and some local businesses, is: expanding health facilities, restocking personal protective equipment and supplies, and further training healthcare workers, especially in Port Vila; and spending on community education and awareness; (ii) With the assistance of Australia, France and New Zealand, COVID-19 tests are analyzed in the French special collectivity of New Caledonia as needed.</t>
  </si>
  <si>
    <t>No amount/estimate: The government is working to provide (i) flights and cover arrival and short-term quarantine costs in Port Vila of repatriated ni-Vanuatu before they return to their homes elsewhere in Vanuatu; (ii) deferred and cancelled taxes, license fees and charges for businesses in 2020. Backdating to start of 2020 some reductions resulting from forthcoming business license reforms; (iii) the Employment Stabilization Payment (reimbursing employers up to VUV30,000 per employee per month for four months; plus an additional 15% to the employer); (iv) small and medium enterprises (SME) with turnover of less than VUV200 million will also receive the value of their business license fees; (v) price-based subsidies if needed to support producers of copra, kava, cocoa and other commodities; (vi) support to the transport sector to facilitate farmers’ access to major market centres such as Port Vila and Luganville; and (vii) secondary school tuition fees are suspended for 2020.</t>
  </si>
  <si>
    <t>Procurement of essential and emergency supplies and equipment through TA 9950 (USD0.25 million).</t>
  </si>
  <si>
    <t>No amount/estimate: (i) With help from Australia, The PRC, New Zealand, UNICEF, WHO, other NGOs/CSOs and some local businesses, is: expanding health facilities, restocking personal protective equipment and supplies, and further training healthcare workers, especially in Port Vila; and spending on community education and awareness; (ii) With the assistance of Australia, France and New Zealand, COVID-19 tests are analyzed in the French special collectivity of New Caledonia as needed.</t>
  </si>
  <si>
    <t>VUV per person</t>
  </si>
  <si>
    <t xml:space="preserve">1. A national State of Emergency (SOE) was declared on March 26 for a two-week period. The SOE will be renewed after April 9. </t>
  </si>
  <si>
    <t>2. Quarantine and self isolation measures.</t>
  </si>
  <si>
    <t>3. Closed all ports of entry for international flights and cruise ships.</t>
  </si>
  <si>
    <t>Source: IMF. https://www.imf.org/en/Topics/imf-and-covid19/Policy-Responses-to-COVID-19 (accessed 14 April 2020).</t>
  </si>
  <si>
    <t>Amount (EUR)</t>
  </si>
  <si>
    <t>March, The European Investment Bank (EIB) dedicated liquidity lines to banks to ensure additional working capital support for small and medium enterprises (SMEs) and mid-caps of EUR10 billion.</t>
  </si>
  <si>
    <t>EC. https://ec.europa.eu/commission/presscorner/detail/en/ip_20_569 (accessed 16 April 2020).</t>
  </si>
  <si>
    <t xml:space="preserve">(i) April 6, The EIB redirected EUR1 billion from the EU Budget as a guarantee to the European Investment Fund to incentivize banks to provide liquidity to hit SMEs and midcaps; (ii) The EIB's EURO20 bn in dedicated guarantee schemes to banks based on existing programmes for immediate deployment; (iii) 09 April, EIB proposal to create a EUR25 billion guarantee fund, which will support up to EUR200 billion of financing for companies (especially SMEs) throughout the EU. The scheme will be implemented by the EIB Group, in close partnership with national promotional banks and other financial intermediaries; (iv) No amount/estimate: European Green Deal investments will remain a priority as part of the EU's efforts to kickstart its economy post-crisis. The commission hopes to mobilize at least 1 trillion euros ($1.1 trillion) of sustainable investments in the next 10 years to help the bloc become climate-neutral by 2050. The InvestEU Fund will mobilise public and private investment through an EU budget guarantee.
</t>
  </si>
  <si>
    <t>EC. https://ec.europa.eu/commission/presscorner/detail/en/ip_20_569 (accessed 16 April 2020); EC. https://ec.europa.eu/regional_policy/en/newsroom/news/2020/01/14-01-2020-financing-the-green-transition-the-european-green-deal-investment-plan-and-just-transition-mechanism (accessed 19 April 2020); EIB. https://www.eib.org/en/press/all/2020-086-eib-group-will-rapidly-mobilise-eur-40-billion-to-fight-crisis-caused-by-covid-19 (accessed 16 April 2020); OECD. http://www.oecd.org/coronavirus/en/#country-tracker (accessed 18  April 2020); European Finance Network. https://www.european-microfinance.org/news/investeu-programme-questions-and-answers (accessed 19 April 2020); SP Global. https://www.spglobal.com/en/research-insights/articles/covid-19-daily-update-april-16-2020 (accessed 19 April 2020).</t>
  </si>
  <si>
    <t xml:space="preserve">(i) March, the EIB dedicated EUR 10 billion in asset-backed securities (ABS) purchasing programs to allow banks to transfer risk on portfolios of SME loans;  (ii) 9 April, EU finance ministers decided to establish Pandemic Crisis Support credit lines within the framework of the European Stability Mechanism (ESM).  Access granted will be 2% of the respective country's GDP as of end-2019, as a benchmark (about EUR 240 billion in total). The credit line will be available until the COVID-19 crisis is over. The only requirement to access the credit line is that euro area Member States requesting support would commit to use this credit line to finance direct and indirect healthcare, cure and prevention related costs due to the COVID 19 crisis; (iii) No amount/estimate: European Green Deal investments will remain a priority as part of the EU's efforts to kickstart its economy post-crisis. One of the three sources of funds for this initiative is a public sector loan facility with the European Investment Bank backed by the EU budget to mobilise between €25 and €30 billion of investments. For investments in, for instance, district heating networks and renovation of buildings. </t>
  </si>
  <si>
    <t>OECD. http://www.oecd.org/coronavirus/en/#country-tracker (accessed 15  April 2020).</t>
  </si>
  <si>
    <t xml:space="preserve">(i) EUR800 million of the EU Solidarity Fund will be available by including a public health crisis within its scope, with a view of mobilizing it if needed for the hardest-hit EU member states; (ii) 19 March, the Commission decided to create a European civil protection stockpile of medical equipment (initial budget of EUR50 million, proposed to increase to EUR80 million) with a 90% Commission grant; (iii) 2 April, the Commission presented legislative proposals for an Emergency Support Instrument for the healthcare sector, (EUR3 billion from the EU budget).
</t>
  </si>
  <si>
    <t xml:space="preserve">(i) Mobilised European Globalisation Adjustment Fund to support dismissed workers and those self-employed (up to EUR179 million available in 2020); (ii) EUR100 billion to finance the short-term unemployment mechanisms through the loans provided by the EU Commision to EU member states (SURE mechanism) backed by EUR 25 billion of guarantees voluntarily committed by Member States to the EU budget. ; (iii) no amount/estimate: March 19, EU Comission intends to allow State aid for struggling businesses and enable Member States to use the full flexibility foreseen under State aid rules; 
(iv) European Green Deal investments will remain a priority as part of the EU's efforts to kickstart its economy post-crisis. One of its three sources of funding is a grant, the A Just Transition Fund, which will receive €7.5 billion of fresh EU funds. In order to tap into their share of the Fund, Member States will, in dialogue with the Commission, have to identify the eligible territories through dedicated territorial just transition plans. They will also have to commit to match each euro from the Just Transition Fund with money from the European Regional Development Fund and the European Social Fund Plus and provide additional national resources. Taken together, this will provide between €30 and €50 billion of funding. It will, for example, support workers to develop skills and competences for the job market of the future and help SMEs, start-ups and incubators to create new economic opportunities in these regions. It will also support investments in the clean energy transition, for example in energy efficiency. Another source of funds for this initiative is a public sector loan facility with the European Investment Bank backed by the EU budget to mobilise between €25 and €30 billion of investments. It will be used for loans to the public sector, for instance for investments in district heating networks and renovation of buildings. 
</t>
  </si>
  <si>
    <t>OECD. http://www.oecd.org/coronavirus/en/#country-tracker (accessed 15  April 2020); EC. https://ec.europa.eu/regional_policy/en/newsroom/news/2020/01/14-01-2020-financing-the-green-transition-the-european-green-deal-investment-plan-and-just-transition-mechanism (accessed 19 April 2020).</t>
  </si>
  <si>
    <t>March, the EIB redirected EUR1 billion from the EU Budget as a guarantee to the European Investment Fund to incentivize banks to provide liquidity to affected SMEs and mid-caps.</t>
  </si>
  <si>
    <t xml:space="preserve">9 April, (i) The European Stability Mechanism (ESM) will provide loans to euro area member countries based on existing precautionary credit lines (ECCL) up to 2% of 2019 GDP for each euro area member (up to EUR240 billion in total) to finance health-related spending (Pandemic Crisis Support); (ii) The EU Commision will provide loans to EU member states for EUR100 billion within the SURE mechanism to finance their short-term unemployment mechanisms. The EU Commission wil issue debt with the collateral of EUR25 billion guarantees from EU member states; (iii) No amount/estimate: European Green Deal investments will remain a priority as part of the EU's efforts to kickstart its economy post-crisis. One of the three sources of its funding is a public sector loan facility with the European Investment Bank backed by the EU budget to mobilise between €25 and €30 billion of investments. </t>
  </si>
  <si>
    <t>(March) EUR37 billion unallocated funds of cohesion policy funding 2014-2020 will be eligible for Coronavirus crisis related expenditure within the Corona Response Investment Initiative. Member States can use them to support public investment for hospitals, SMEs, labor markets, and stressed regions. The Coronavirus Response Investment Initiative Plus (CRII+), proposed on 2 April, complements the CRII by further enhancing flexibility in the use of cohesion funds. This enhanced flexibility is inter alia provided through transfer possibilities across the three cohesion policy funds (the European Regional Development Fund, European Social Fund and Cohesion Fund), transfers between the different categories of regions (e.g. less vs more developed), flexibility regarding thematic concentration, the possibility for a 100% EU co-financing rate for the accounting year 2020-2021, and simplified procedural steps.</t>
  </si>
  <si>
    <t>1. Maximum flexibility will be deployed in the application of the Stability and Growth Pact by activating for the first time (on 23 March) the general escape clause in case of a severe economic downturn for the euro area or EU as a whole.</t>
  </si>
  <si>
    <t>Source: OECD. http://www.oecd.org/coronavirus/en/#country-tracker (accessed 18 April 2020).</t>
  </si>
  <si>
    <t>No amount/estimate: 12 March, Conducting additional longer-term refinancing operations (LTROs) temporarily (with an interest rate equal to the average rate on the deposit facility, -0.50% currently).</t>
  </si>
  <si>
    <t>OECD. http://www.oecd.org/coronavirus/en/#country-tracker (accessed 18  April 2020).</t>
  </si>
  <si>
    <t xml:space="preserve">No amount/estimate: (i) 18 March, Easing collateral standards to give easier access to ECB liquidity, by adjusting the main risk parameters of the collateral framework; (ii) allow major banks (directly supervised by the ECB) to operate temporarily below the level of capital defined by the Pillar 2 Guidance (P2G), the capital conservation buffer (CCB) and the liquidity coverage ratio (LCR).
</t>
  </si>
  <si>
    <t xml:space="preserve">(ii) March 12, Adding a temporary envelope of additional net asset purchases of €120 billion until the end of the year; March 18, (iii) Furthermore, launching a new temporary asset purchase programme of private and public sector securities (Pandemic Emergency Purchase Programme, PEPP) with an overall envelope of EUR 750 billion until the end of 2020.  Some self-imposed purchase limits will not apply to the PEPP. A waiver of the eligibility requirements for securities issued by the Greek government will be granted for purchases under PEPP;  (iii) expanding the range of eligible assets under the corporate sector purchase programme (CSPP) to non-financial commercial paper. 
</t>
  </si>
  <si>
    <t xml:space="preserve">12 March, (i) Lowering the interest rate applied in targeted longer-term refinancing operations (TLTRO III) during the period from June 2020 to June 2021 (25 basis points below the average rate applied in the Eurosystem's main refinancing operations). The targeted longer-term refinancing operations (TLTROs) are Eurosystem operations that provide financing to credit institutions. By offering banks long-term funding at attractive conditions they preserve favourable borrowing conditions for banks and stimulate bank lending to the real economy. It is estimated that the facility could provide up to around EUR3 trillion in at a negative rate, which can be as low as -0.75%, the lowest rate ECB ever offered; No amount/estimate: (ii) relaxation of  countercyclical capital buffer (CCyB); (iii) March 20, Flexibility in treatment of non-performing loans (NPLs) to allow banks to fully benefit from public guarantees and moratoriums and of banks' implementation of NPL reduction strategies; (iv) March 27, requirement for banks not to pay dividends until at least 1 October 2020. See (ii) on CCB in Measure 1.
</t>
  </si>
  <si>
    <t>EC. https://www.ecb.europa.eu/mopo/implement/omt/html/cspp-qa.en.html (accessed 15 April 2020); EC. https://www.ecb.europa.eu/press/blog/date/2020/html/ecb.blog200409~3aa2815720.en.html (accessed 18 April 2020); OECD. http://www.oecd.org/coronavirus/en/#country-tracker (accessed 18  April 2020).</t>
  </si>
  <si>
    <t>Purchases of government bonds are included in Measure 2 (row 9). The amount could not be disaggregated from the EUR 750 billion PEPP program.</t>
  </si>
  <si>
    <t>OECD. http://www.oecd.org/coronavirus/en/#country-tracker (accessed 18 April 2020).</t>
  </si>
  <si>
    <t>Amounts outstanding with the US Fed: USD139.342 billion as of April 16.</t>
  </si>
  <si>
    <t>New York FED.https://apps.newyorkfed.org/markets/autorates/fxswap (accessed 20 April 2020)</t>
  </si>
  <si>
    <t xml:space="preserve">The Oesterreichische Nationalbank (OeNB) has declared readiness to supply sufficient cash to banks, ATM operators, and the economy in response to increased withdrawals. Working hours were extended to meet the increased demand. </t>
  </si>
  <si>
    <t>IMF. https://www.imf.org/en/Topics/imf-and-covid19/Policy-Responses-to-COVID-19 (accessed 15  April 2020).</t>
  </si>
  <si>
    <t>EUR9 billion in credit guarantees.</t>
  </si>
  <si>
    <t>No amount/estimate: Austrians are allowed to defer interest payments on bank loans.</t>
  </si>
  <si>
    <t>(i) Additional capacities for mobile and stationary care (EUR100 million); (ii) EUR60 million are granted to the health system;  (iii) EUR 130 million are given to hospitals for equipment and to finance over-time payments; (iv) EUR36 million are disbursed to incentivize eligible research on COVID-19 by Austrian firms; (v) EUR13 million on medical supplies.</t>
  </si>
  <si>
    <t>(i) EUR15 billion emergency funds for hard-hit industries to provide direct liquidity provisions and subsidies for running costs; (ii) EUR4 billion funds for short-time working, self-employed and funds to finance increased costs of caretaking, etc.; (iii) EUR10 billion for payment deferrals of personal income and corporate income taxes; (iv) rent payment deferrals.</t>
  </si>
  <si>
    <t>EUR per person</t>
  </si>
  <si>
    <t>1. On March 18, the Financial Market Authority prohibited short sales for one month following the massive drop in prices on the Vienna Stock Exchange due to betting on covered share price losses.</t>
  </si>
  <si>
    <t>1. The government has restricted access on Austria's external borders. Freight transport, transits and returning Austrians are exempted. Official air and external train traffic is suspended.</t>
  </si>
  <si>
    <t>2. Since March 16, all schools are closed at least until mid-May.</t>
  </si>
  <si>
    <t>3. Austrian authorities have enforced a country-wide lockdown since March 16.</t>
  </si>
  <si>
    <t>Source: OECD. http://www.oecd.org/coronavirus/en/ (accessed 15 April 2020).</t>
  </si>
  <si>
    <t>The National Bank of Belgium announced the decision to reduce the counter-cyclical buffer to zero, releasing approximately EUR1 billion worth of capital available to Belgian banks to expand lending.</t>
  </si>
  <si>
    <t>(i) EUR50 billion (over 11% of GDP) of guarantees for new bank loans to companies and self-employed; (ii) regional governments announced further bank-loan guarantees (around EUR1.8 billion, or 0.4 % of GDP).</t>
  </si>
  <si>
    <t>(i) The federal government announced a fiscal envelope of EUR10 billion to address the crisis (about 2.5% of GDP). Key fiscal support measures include: boosting health expenditure and increasing support for those in temporary unemployment and self-employed;  (ii) regional governments have also announced additional support of around EUR1.7 billion (0.4 % of GDP) to affected firms and sectors, and transfers to affected households.</t>
  </si>
  <si>
    <t>1. Ban on short-selling stocks until April 16</t>
  </si>
  <si>
    <t>Source: IMF. https://www.imf.org/en/Topics/imf-and-covid19/Policy-Responses-to-COVID-19 (accessed 15  April 2020).</t>
  </si>
  <si>
    <r>
      <t>1.</t>
    </r>
    <r>
      <rPr>
        <sz val="7"/>
        <color rgb="FF0B1E2D"/>
        <rFont val="Tahoma"/>
        <family val="2"/>
      </rPr>
      <t xml:space="preserve">   </t>
    </r>
    <r>
      <rPr>
        <sz val="12"/>
        <color rgb="FF0B1E2D"/>
        <rFont val="Tahoma"/>
        <family val="2"/>
      </rPr>
      <t xml:space="preserve">Containment measures were reinforced as of March 18, which will remain in place until April 19. </t>
    </r>
  </si>
  <si>
    <r>
      <t>2.</t>
    </r>
    <r>
      <rPr>
        <sz val="7"/>
        <color rgb="FF0B1E2D"/>
        <rFont val="Tahoma"/>
        <family val="2"/>
      </rPr>
      <t xml:space="preserve">   </t>
    </r>
    <r>
      <rPr>
        <sz val="12"/>
        <color rgb="FF0B1E2D"/>
        <rFont val="Tahoma"/>
        <family val="2"/>
      </rPr>
      <t>Non-essential travel outside Belgium is prohibited.</t>
    </r>
  </si>
  <si>
    <r>
      <t>3.</t>
    </r>
    <r>
      <rPr>
        <sz val="7"/>
        <color rgb="FF0B1E2D"/>
        <rFont val="Tahoma"/>
        <family val="2"/>
      </rPr>
      <t xml:space="preserve">   </t>
    </r>
    <r>
      <rPr>
        <sz val="12"/>
        <color rgb="FF0B1E2D"/>
        <rFont val="Tahoma"/>
        <family val="2"/>
      </rPr>
      <t xml:space="preserve">Schools remain open, but classes and school activities are interrupted. </t>
    </r>
  </si>
  <si>
    <r>
      <t>4.</t>
    </r>
    <r>
      <rPr>
        <sz val="7"/>
        <color rgb="FF0B1E2D"/>
        <rFont val="Tahoma"/>
        <family val="2"/>
      </rPr>
      <t xml:space="preserve">   </t>
    </r>
    <r>
      <rPr>
        <sz val="12"/>
        <color rgb="FF0B1E2D"/>
        <rFont val="Tahoma"/>
        <family val="2"/>
      </rPr>
      <t>Non-essential shops and retail outlets are closed from 18 March. Firms are obliged to organise telework and, if this is not possible for certain employees, social distancing will be strictly respected. If firms cannot meet these obligations, they must be closed temporarily. These measures will apply until April 19.</t>
    </r>
  </si>
  <si>
    <t>(i) March 20, The (Danmarks Nationalbank) DN announced the launch of an ‘extraordinary lending facility’ which will make full-allotment, 1-week, collateralized loans available to banks at -0.5 % interest rate; (ii) March 19, The DN expanded this facility to include 3-month variable rate loans which will be available March 27, 2020; (iii) March 24, The DN announced the auction of USD liquidity; (iv) the Danish Financial Stability Authority (DFSA) also announced a case by case relaxation of regulation on the LCR requirement.</t>
  </si>
  <si>
    <t>OECD. http://www.oecd.org/coronavirus/en/ (accessed 15 April 2020).</t>
  </si>
  <si>
    <t>No amount/estimate: (i) The DN increased the policy rate by 15bps to -0.6 %; (ii) March 12, The Danish authorities decided to preemptively release the countercyclical capital buffer and cancel the planned increases meant to take effect later; (ii) March 30, Banks and insurance companies are urged by the DFSA not to pay out dividends or buy back shares; (iii) the DN also increased the interest rate on the previously announced 1-week loans to -0.35 %.</t>
  </si>
  <si>
    <t>(i) Two government loan guarantee schemes have been set up, one for large firms (market-based) and one for small and medium enterprises (EUR700 million resources reserved for expected losses); (ii) state guarantees to the travel industry (Travel Guarantee Fund) has been increased by EUR200 million; (iii) a government guarantee of EUR100 million is provided to SAS airlines (Sweden and Norway providing similar amounts).</t>
  </si>
  <si>
    <t>(i) Access to export credit for SMEs has been increased by EUR200 million; (ii) for students, that often have a part-time job in most affected sectors, the limit on the student loan facility has been increased (EUR200 million).</t>
  </si>
  <si>
    <t>No amount/estimate: resources provided to the health sector.</t>
  </si>
  <si>
    <t>(i) EUR1.3 billion cash support to self-employed; (ii) cash support for firms (expected cost EUR5.4 billion); (iii) support to employees at risk of layoff (EUR613 million); (iv) sick leave benefits for people with COVID-19 will be fully covered by the government (EUR200 million); (v) compensation is provided to organisers of canceled events  (EUR130 million); (vi) local governments will frontload payments to firms and defer charging tax on business properties (EUR1 billion); (vii) VAT and income tax payments have been deferred (EUR22 billion in total), of which EUR5.4 billion are targeted SMEs; (viii) allocated more resources to short-time work scheme  (EUR13 million) (ix) no amount/estimate: support to unemployed: remaining entitlement period will be frozen for 3 months; (x) reduction in the preliminary payments of corporate income tax.</t>
  </si>
  <si>
    <t>The standing swap line with ECB was activated and its size was doubled to EUR24 billion. It will remain in place as long as needed, no information available on usage. In addition, the DN reached an agreement with the Federal Reserve to establish a USD 30 billion swap line that will stand for at least 6 months. Amounts outstanding under the Federal Researve swap line: USD4.25 billion as of April 16.</t>
  </si>
  <si>
    <t>OECD. http://www.oecd.org/coronavirus/en/ (accessed 15 April 2020); New York FED.https://apps.newyorkfed.org/markets/autorates/fxswap (accessed 15 April 2020).</t>
  </si>
  <si>
    <t xml:space="preserve"> -na</t>
  </si>
  <si>
    <t xml:space="preserve">1.	People returning from abroad are strongly encouraged to self-quarantine for two weeks. Borders have been closed and entry are only allowed for citizens and others with a critical reason to enter (e.g. work or visit sick family member). EU border restrictions apply as well. Borders remain fully open to transport of goods and capital flows. Air traffic is de facto shut down.
</t>
  </si>
  <si>
    <t xml:space="preserve">2.	All schools, childcare and education facilities are closed until 13 April. Teaching continues through online distance learning platforms. The government has banned gatherings of more than 10 people (inside as well as outside), except in work places. Only food stores, pharmacies and stores allowing sufficient physical distance are allowed to remain open. All restaurants, bars and cultural premises as well personal services not allowing sufficient physical distance (e.g. hairdressers) are required to close. </t>
  </si>
  <si>
    <t>Source: OECD. http://www.oecd.org/coronavirus/en/ (accessed 14 April 2020).</t>
  </si>
  <si>
    <t>March, (i) the Bank of Finland to support liquidity by investing in short-term Finnish corporate commercial paper (EUR1 billion); (ii) the State Pension Fund will also invest in commercial paper (EUR1 billion).</t>
  </si>
  <si>
    <t>(i) No amount estimate: March, 1 percentage point (ppt) reduction in the structural buffer requirements of all credit institutions by removing the systemic risk buffer and adjusting institution-specific requirements; (ii) March 17, Finnish Financial Supervisory Authority (FIN-FSA) decided to decrease all main solvency requirements by approximately 1.0% with bank variations. By FIN-FSA calculations the measure, in conjunction with other supervision requirements, increases Finnish credit institutions lending capacity by EUR30 billion.</t>
  </si>
  <si>
    <t>IMF. https://www.imf.org/en/Topics/imf-and-covid19/Policy-Responses-to-COVID-19 (accessed 15  April 2020); KPMG. https://home.kpmg/xx/en/home/insights/2020/04/finland-government-and-institution-measures-in-response-to-covid.html (accessed 16 April 2020).</t>
  </si>
  <si>
    <t>(i) Mar 20,  State guarantee for Finnair (EUR600 million); (ii) state guarantee for shipping companies (EUR 600 million).</t>
  </si>
  <si>
    <t>March 20, (i) Finland’s Export Credit Agency is expanding its lending and guarantee capacity to small and medium enterprises by EUR10 billion; (ii) no amount/estimate: March 20, easier re-borrowing of pension contributions allowed.</t>
  </si>
  <si>
    <t>IMF. https://www.imf.org/en/Topics/imf-and-covid19/Policy-Responses-to-COVID-19 (accessed 15  April 2020); Trade Finance Global. https://www.tradefinanceglobal.com/export-finance/export-credit-agencies-eca/finnvera-finland-eca/ (accessed 15 April 2020).</t>
  </si>
  <si>
    <t>March 20, (i) Healthcare and testing, protection and medical equipment, public safety and border controls, and research on the coronavirus epidemic, in particular to develop methods for rapid diagnostics and vaccines and a knowledge base for timely decision-making on coronavirus measures, (especially on the exit strategy) (EUR1 billion); (ii) Finland is also contributing EUR5 million to international non-profit companies working on the development of a COVID-19 vaccine.</t>
  </si>
  <si>
    <t>March 20, (i) Lower pension contributions through the remainder of 2020 (EUR900 million); (ii) grants to SMEs and self-employed (EUR650 million); and (iii) expanded parental allowance, social assistance and unemployment insurance (EUR3 billion); (iv) Deferral of tax and pension payments for 3 months (EUR4.5 billion).
In addition to discretionary measures, automatic stabilizers are expected to increase the fiscal deficit by about EUR12 billion (4-5.0) percentage points of GDP (this estimate in included in the amount).</t>
  </si>
  <si>
    <r>
      <t>1.</t>
    </r>
    <r>
      <rPr>
        <b/>
        <sz val="7"/>
        <color rgb="FF0B1E2D"/>
        <rFont val="Tahoma"/>
        <family val="2"/>
      </rPr>
      <t xml:space="preserve">     </t>
    </r>
    <r>
      <rPr>
        <sz val="12"/>
        <color rgb="FF0B1E2D"/>
        <rFont val="Tahoma"/>
        <family val="2"/>
      </rPr>
      <t xml:space="preserve">The Finnish government declared a state of emergency. As of 18 March, stringent containment measures applied at the national level for one month. </t>
    </r>
  </si>
  <si>
    <r>
      <t>2.</t>
    </r>
    <r>
      <rPr>
        <b/>
        <sz val="7"/>
        <color rgb="FF0B1E2D"/>
        <rFont val="Tahoma"/>
        <family val="2"/>
      </rPr>
      <t xml:space="preserve">     </t>
    </r>
    <r>
      <rPr>
        <sz val="12"/>
        <color rgb="FF0B1E2D"/>
        <rFont val="Tahoma"/>
        <family val="2"/>
      </rPr>
      <t xml:space="preserve">From 19 March, passenger traffic has been restricted at the Finnish external borders, but Finnish citizens are allowed to return home. </t>
    </r>
  </si>
  <si>
    <r>
      <t>3.</t>
    </r>
    <r>
      <rPr>
        <b/>
        <sz val="7"/>
        <color rgb="FF0B1E2D"/>
        <rFont val="Tahoma"/>
        <family val="2"/>
      </rPr>
      <t xml:space="preserve">     </t>
    </r>
    <r>
      <rPr>
        <sz val="12"/>
        <color rgb="FF0B1E2D"/>
        <rFont val="Tahoma"/>
        <family val="2"/>
      </rPr>
      <t xml:space="preserve">On 18 March, schools and universities were shut down. </t>
    </r>
  </si>
  <si>
    <r>
      <t>4.</t>
    </r>
    <r>
      <rPr>
        <b/>
        <sz val="7"/>
        <color theme="1"/>
        <rFont val="Tahoma"/>
        <family val="2"/>
      </rPr>
      <t xml:space="preserve">     </t>
    </r>
    <r>
      <rPr>
        <sz val="12"/>
        <color rgb="FF0B1E2D"/>
        <rFont val="Tahoma"/>
        <family val="2"/>
      </rPr>
      <t xml:space="preserve">On 19 March, some public services (e.g. museums) were closed, and non-public sector service providers encouraged to follow suit. </t>
    </r>
  </si>
  <si>
    <t>No amount/estimate: April, Reducing the counter-cyclical bank capital buffer to 0%.</t>
  </si>
  <si>
    <t>(i) State guarantee mechanism for new liquidity loans granted by credit institutions between 16 March and 31 December 2020 to companies registered in France (within the limit of EUR300 billion); (ii) specific guarantees for export insurance and credit insurance could also reach EUR12 billion.</t>
  </si>
  <si>
    <t>(i) EUR260 million for hospitals and other related payments have been allocated; (ii) payments of EUR3.5 billion from the 2020 allocation;  (Iii) EUR4.5 billion of additional funds for the purchase of equipment and other health expenses; (iv) creation of an additional emergency fund of EUR50 million for research on Covid-19.</t>
  </si>
  <si>
    <t>(i)	 Short-time work scheme (EUR8.5 billion); (ii) the solidarity fund (EUR1.5 billion) to support income for the self-employed and smallest firms; (iii) postponement of social and fiscal deadlines and the early reimbursements of tax credits will reach EUR48.5 billion (2.0% of 2019 GDP).</t>
  </si>
  <si>
    <t>1. Joint actions are being taken between national and regional authorities to manage the crisis as part of the new Economic Council 'Etats-Régions', including to set-up regional Task Forces together with development banks (BPI), to accelerate support measures for businesses enterprises.</t>
  </si>
  <si>
    <t>2. A ban on short-selling stocks until April 16</t>
  </si>
  <si>
    <t>Sources: IMF. https://www.imf.org/en/Topics/imf-and-covid19/Policy-Responses-to-COVID-19 (accessed 15  April 2020); OECD. http://www.oecd.org/coronavirus/en/ (accessed 18 April 2020).</t>
  </si>
  <si>
    <r>
      <t>1.</t>
    </r>
    <r>
      <rPr>
        <sz val="7"/>
        <color rgb="FF0B1E2D"/>
        <rFont val="Tahoma"/>
        <family val="2"/>
      </rPr>
      <t xml:space="preserve">     </t>
    </r>
    <r>
      <rPr>
        <sz val="12"/>
        <color rgb="FF0B1E2D"/>
        <rFont val="Tahoma"/>
        <family val="2"/>
      </rPr>
      <t>As of 17 March (at noon), stringent containment measures to slow the epidemics have been implemented. The containment measures will apply at the national level at least until 15 April. Going outside has been restricted to the bare essentials (medical appointments, commuting, grocery shopping, imperative family reasons, exercising close to home). People most at risk (including elderly people) have been encouraged to self-isolate.</t>
    </r>
  </si>
  <si>
    <r>
      <t>2.</t>
    </r>
    <r>
      <rPr>
        <sz val="7"/>
        <color rgb="FF0B1E2D"/>
        <rFont val="Tahoma"/>
        <family val="2"/>
      </rPr>
      <t xml:space="preserve">     </t>
    </r>
    <r>
      <rPr>
        <sz val="12"/>
        <color rgb="FF0B1E2D"/>
        <rFont val="Tahoma"/>
        <family val="2"/>
      </rPr>
      <t>Travel within towns, between regions and outside the country have been severely limited (need for a good reason and steep reduction of transport offers). National long-distance transportation is being gradually reduced. EU and Schengen borders have been closed (for 30 days).</t>
    </r>
  </si>
  <si>
    <r>
      <t>3.</t>
    </r>
    <r>
      <rPr>
        <sz val="7"/>
        <color rgb="FF0B1E2D"/>
        <rFont val="Tahoma"/>
        <family val="2"/>
      </rPr>
      <t xml:space="preserve">     </t>
    </r>
    <r>
      <rPr>
        <sz val="12"/>
        <color rgb="FF0B1E2D"/>
        <rFont val="Tahoma"/>
        <family val="2"/>
      </rPr>
      <t>All educational institutions have been closed, except for the introduction of a basic day-care service in nurseries and schools for the underage children of medical staff.</t>
    </r>
  </si>
  <si>
    <r>
      <t>4.</t>
    </r>
    <r>
      <rPr>
        <sz val="7"/>
        <color rgb="FF0B1E2D"/>
        <rFont val="Tahoma"/>
        <family val="2"/>
      </rPr>
      <t xml:space="preserve">     </t>
    </r>
    <r>
      <rPr>
        <sz val="12"/>
        <color rgb="FF0B1E2D"/>
        <rFont val="Tahoma"/>
        <family val="2"/>
      </rPr>
      <t>Public meetings have been banned. All public-access buildings and businesses have been closed, except those essential to people's everyday lives. Companies and administrations must offer teleworking options to their employees for all jobs that can be performed remotely. The second round of the municipal elections has been postponed.</t>
    </r>
  </si>
  <si>
    <t xml:space="preserve">
</t>
  </si>
  <si>
    <t xml:space="preserve">EUR200 million:  Strategic Banking Corporation of Ireland (state development bank) Working Capital scheme. Loans can be used for future working capital requirements and to fund innovation, change or adaptation of the business to mitigate the impact of Covid-19. The loans will be available through AIB, Bank of Ireland and Ulster Bank. </t>
  </si>
  <si>
    <t>OECD. http://www.oecd.org/coronavirus/en/ (accessed 15 April 2020); SBCI. https://sbci.gov.ie/schemes/covid-19-loan-application (accessed 18 April 2020).</t>
  </si>
  <si>
    <t>No amount/estimate: the Central Bank has cut the Counter Cyclical Capital Buffer from 1% to 0%. This decision will free up bank capital that can be used to provide credit, and to restructure and extend the loans of bank customers, both individuals and SMEs.</t>
  </si>
  <si>
    <t>(i) EUR200 million:  Rescue and Restructuring Scheme available through Enterprise Ireland for vulnerable but viable firms. The scheme was scheduled to run until 2020 and would offer support in the form of loans repayable over a period of 18 months.  Enterprise Ireland is the government organisation responsible for the development and growth of Irish enterprises in world markets; (ii) No amount/estimate:the Microfinance Ireland COVID-19 Loan (the maximum amount of which has been doubled from €25,000 to €50,000) includes an option for a moratorium on interest and repayments for the first six months. Microfinance Ireland (MFI), is a not-for-profit lender, established to deliver the Government’s Microenterprise Loan Fund.</t>
  </si>
  <si>
    <t>OECD. http://www.oecd.org/coronavirus/en/ (accessed 15 April 2020); Enterprise Ireland https://www.enterprise-ireland.com/en/About-Us/ (accessed 18 April 2020); Microfinance Ireland. https://microfinanceireland.ie/who-we-are/ (accessed 18 April 2020).</t>
  </si>
  <si>
    <t xml:space="preserve">Extra funding of  EUR1 billion (0.5% of GNI) to the Health Service Executive for improving capacity in the health service.
</t>
  </si>
  <si>
    <t>March 9, The government has so far announced a stimulus package of EUR6.3 billion (3.2% of GDP) in response to the COVID-19 pandemic. It includes EUR2.4 billion for illness benefit payments announced on 9 March, as well as a further EUR3.7 billion announced on 24 March to cover the cost of a new Wage Subsidy Scheme. 
The government has also announced direct financial support for businesses. No amount/estimate: (i) Local Enterprise Offices in every county will be providing vouchers from EUR2,500 up to EUR10,000; (ii) a Finance in Focus grant of EUR7,200 will be available to Enterprise Ireland and Údarás na Gaeltachta clients; (iii) the government agreed with local authorities that they should defer business rates payments due from the most immediately affected businesses until the end of May; (iv) variety of taxation measures to alleviate short-term difficulties. For example, interest on late payments and all debt enforcement activity have been suspended and current tax clearance status will remain in place for all businesses.</t>
  </si>
  <si>
    <r>
      <t>1.</t>
    </r>
    <r>
      <rPr>
        <sz val="7"/>
        <color rgb="FF0B1E2D"/>
        <rFont val="Tahoma"/>
        <family val="2"/>
      </rPr>
      <t xml:space="preserve">     </t>
    </r>
    <r>
      <rPr>
        <sz val="12"/>
        <color rgb="FF0B1E2D"/>
        <rFont val="Tahoma"/>
        <family val="2"/>
      </rPr>
      <t xml:space="preserve">There are no entry restrictions to Irish airports and ports. Anyone coming into Ireland, apart from Northern Ireland, will be required to either restrict their movements or self-isolate on arrival for 14 days. </t>
    </r>
  </si>
  <si>
    <r>
      <t>2.</t>
    </r>
    <r>
      <rPr>
        <sz val="7"/>
        <color rgb="FF0B1E2D"/>
        <rFont val="Tahoma"/>
        <family val="2"/>
      </rPr>
      <t xml:space="preserve">     </t>
    </r>
    <r>
      <rPr>
        <sz val="12"/>
        <color rgb="FF0B1E2D"/>
        <rFont val="Tahoma"/>
        <family val="2"/>
      </rPr>
      <t>Closure of schools/universities since March 12</t>
    </r>
  </si>
  <si>
    <r>
      <t>3.</t>
    </r>
    <r>
      <rPr>
        <sz val="7"/>
        <color theme="1"/>
        <rFont val="Tahoma"/>
        <family val="2"/>
      </rPr>
      <t xml:space="preserve">     </t>
    </r>
    <r>
      <rPr>
        <sz val="12"/>
        <color rgb="FF0B1E2D"/>
        <rFont val="Tahoma"/>
        <family val="2"/>
      </rPr>
      <t>Cancellation of public events / Closure of public places</t>
    </r>
  </si>
  <si>
    <t>No amount/estimate: less significant banks and non-bank intermediaries are allowed to operate temporarily below the level of the Pillar 2 Guidance, the capital conservation buffer and the liquidity coverage ratio. Their deadline to submit their revised non-performing loan reduction plans is postponed to 30 June. Other reporting and inspection deadlines are delayed.</t>
  </si>
  <si>
    <t>See Non-lending actions of Measure 1.</t>
  </si>
  <si>
    <t>(i) EUR10 billion state guarantee for new loans for medium-large firms (based in 500 million 1:20); (ii) EUR21.48 billion for the SMEs Guarantee Fund (based in 1.5 billion 1:14 aprox); (iii) April 9, EUR400 billion in guarantees (April 9) including EUR200 billion from Treasury to shield banks from losses on 90% of loans to companies of all sizes, and EUR200 billion guarantees from Cassa Depositi e Prestiti CDP (Italy's state lender) and its export agency Sace; (iv) no amount/estimate: further guarantees for firms most affected by the virus. Facilitate guarantees for self-employed workers, freelancers and individual entrepreneurs.</t>
  </si>
  <si>
    <t>OECD. http://www.oecd.org/coronavirus/en/ (accessed 15 April 2020); Reuters. https://www.reuters.com/article/health-coronavirus-italy-decree/update-1-italy-announces-guarantees-for-bank-loans-worth-over-400-bln-euros-idUSL8N2BU5T8 (accessed 16 April 2020); 
http://www.mef.gov.it/covid-19/.</t>
  </si>
  <si>
    <t>(i) EUR50 million allocation for one-year suspension in repayment of loans to Invitalia (national development agency owned by the Ministry of Economy) to support SMEs in the most affected municipalities;  (ii) no amount/estimate: for households, moratorium on debt payments, including mortgages.</t>
  </si>
  <si>
    <t>Invitalia. https://www.invitalia.it/ (accessed 18 April 2020); OECD. http://www.oecd.org/coronavirus/en/ (accessed 15 April 2020).</t>
  </si>
  <si>
    <t>EUR3.2 billion for the national health service and to support civil protection.</t>
  </si>
  <si>
    <t>Over EUR10 billion allocated for households, including (i) EUR5.0 billion to strengthen the wage supplementation scheme for furloughed employees; (ii) EUR2.3 billion for one-off EUR 600 payment to the self-employed &amp;seasonal workers; (iii) EUR400 million for one-year suspension in the repayment of real estate mortgages by workers having lost their job; (iv) EUR1.3 billion to strengthen childcare support; (v) EUR30 million for EUR1000 childcare payment to employees in the healthcare and law enforcement sectors; (vi) EUR0 5 million to raise by 12 days the paid leave for disabled workers and workers caring for a disabled relative; (vii); EUR130 million to extend sick leave to cover days spent in quarantine; (viii) EUR900 million for a EUR 100 one-off bonus to workers who continued to work at their workplace.
For companies: (i) EUR540 million for 60% tax credit on commercial rents; (ii) EUR50 million for incentives to firms to sanitise workplaces; (iii) suspension of collection of tax collection files (EUR600 million);  (iv) suspension for 2 months of tax and social security payments in the municipalities most affected; (v) suspension of all the tax and social security payments coming due in March (EUR10 billion);  (vi) suspension of 2 months (until end of April) in the payment of the electricity, gas, water and waste bills in the most affected municipalities; (vii) Non-application of withholding tax for professionals without employees, with revenues below EUR400,000 until 31 May 2020; (viii)  Incentive to sell impaired loans (NPLs) by converting deferred tax assets (DTA) into tax credits for financial and industrial companies.</t>
  </si>
  <si>
    <r>
      <t>1.</t>
    </r>
    <r>
      <rPr>
        <sz val="7"/>
        <color rgb="FF0B1E2D"/>
        <rFont val="Tahoma"/>
        <family val="2"/>
      </rPr>
      <t xml:space="preserve">     </t>
    </r>
    <r>
      <rPr>
        <sz val="12"/>
        <color rgb="FF0B1E2D"/>
        <rFont val="Tahoma"/>
        <family val="2"/>
      </rPr>
      <t>Movements restrictions reinforced, with fewer exceptions and a limited range of industrial and commercial activities permitted to continue operating, effective 29 March.</t>
    </r>
  </si>
  <si>
    <r>
      <t>2.</t>
    </r>
    <r>
      <rPr>
        <sz val="7"/>
        <color rgb="FF0B1E2D"/>
        <rFont val="Tahoma"/>
        <family val="2"/>
      </rPr>
      <t xml:space="preserve">     </t>
    </r>
    <r>
      <rPr>
        <sz val="12"/>
        <color rgb="FF0B1E2D"/>
        <rFont val="Tahoma"/>
        <family val="2"/>
      </rPr>
      <t>Strict travel restrictions nation-wide, reinforced from March 23 to prohibit movements out of the municipality where individuals reside.</t>
    </r>
  </si>
  <si>
    <t>Netherlands</t>
  </si>
  <si>
    <t xml:space="preserve">EUR100 million available for bridging loans to start-ups, scale-ups and innovative small and medium enterprises. These loans will be provided through regional development companies in the Netherlands. </t>
  </si>
  <si>
    <t xml:space="preserve">March, (i) EUR6 million in reduction in interest rates from (Qredits); (ii) no amount/estimate: De Nederlandsche Bank (DNB) reduced systemic buffers from the current 3% of global risk-weighted exposures to 2.5% for ING, 2% for Rabobank and 1.5% for ABN Amro; (iii) no amount/estimate: the planned introduction of a risk weight floor for mortgage loans has been postponed. It is expressly intended that this released capital is used to support lending, as opposed to paying dividends or buying back own shares.
</t>
  </si>
  <si>
    <t>OECD. http://www.oecd.org/coronavirus/en/ (accessed 15 April 2020); Bruegel. https://www.bruegel.org/publications/datasets/covid-national-dataset/#netherlands (accessed 15 April 2020).</t>
  </si>
  <si>
    <t xml:space="preserve">April 9, (i) budget for guarantee facility for SME loans via BMKB was raised to EUR 1.5 billion the premium for SME loans has been reduced from 3.9 to 2%. BMKB is a government agency which operates under the auspices of the Ministry of Economic Affairs and Climate Policy; (ii) EUR10 billion increase in the ceiling of the GO business loan guarantee scheme; (iii) The government provides EUR 12 billion guarantees for the credit insurance market to ease lending to small firms; (iv) EUR400 million additional temporary guarantee for working capital in agricultural and horticultural companies will be provided under the Guarantee for SME Agricultural Credits scheme; (iv) no amount/estimate: March 30, The government increased export credit insurance for firms through the credit insurer Atradius. The share of the working capital that companies need for their export production was raised from 80 to 95 percent.
</t>
  </si>
  <si>
    <t>OECD. http://www.oecd.org/coronavirus/en/ (accessed 18 April 2020).</t>
  </si>
  <si>
    <t>Loans at reduced interest rates are available under the scheme in (ii) of Non-health, Measure 4.</t>
  </si>
  <si>
    <t xml:space="preserve">(i) No amount/estimate: the banking sector has responded by giving an automatic 6-month payment holiday (interest and amortisation) for all business loans of less than  EUR2.5 million; (ii) no amount/estimate: ban on forced home sales of homeowners who are temporarily unable to meet their mortgage obligations due to the corona crisis until 1 July (7 April) and automatic extension of temporary rent contracts until the end of June (8 April).
</t>
  </si>
  <si>
    <r>
      <t xml:space="preserve">(i) April 1,  EUR10 billion for temporary compensation of employers’ wage costs, up to 90% of wage bill, conditional on at least 20% fall in turnover in the months March to May compared to 2019 (NOW scheme). In addition, the government will cover 30% of pension contributions and the employers' premium; (ii)  </t>
    </r>
    <r>
      <rPr>
        <sz val="12"/>
        <rFont val="Tahoma"/>
        <family val="2"/>
      </rPr>
      <t xml:space="preserve">EUR2 billion for compensation of self-employed and independent entrepreneurs without staff; (iii) </t>
    </r>
    <r>
      <rPr>
        <sz val="12"/>
        <color theme="1"/>
        <rFont val="Tahoma"/>
        <family val="2"/>
      </rPr>
      <t>EUR465 million in emergency support in the form of a lump sum of EUR4,000 for businesses that were forced to close doors due to government regulations (TOGS scheme); (iv) EUR175 million for Childcare Compensation for parents who continue paying for childcare during the lockdown (8 April); (v) EUR 45-60 billion (5.8%-8.4% of GDP in 2020) for deferral of tax collection of VAT, income, corporate, wage and turnover taxes from companies; No amount estimate: (vi) April 1, the government will cover 30% of pension contributions and the employers' premium (1 April); (vii) March 30, self-employed (without employees) hit by the corona crisis are to receive monthly 1,050 'euros over the next three months, irrespective of their savings. For married couples or couples with children a maximum of EUR 1,500 a month will apply.</t>
    </r>
  </si>
  <si>
    <t>OECD. http://www.oecd.org/coronavirus/en/ (accessed 18 April 2020); Bruegel. https://www.bruegel.org/publications/datasets/covid-national-dataset/#netherlands (accessed 15 April 2020).</t>
  </si>
  <si>
    <r>
      <t>1.</t>
    </r>
    <r>
      <rPr>
        <sz val="7"/>
        <color rgb="FF2C2825"/>
        <rFont val="Tahoma"/>
        <family val="2"/>
      </rPr>
      <t xml:space="preserve">     </t>
    </r>
    <r>
      <rPr>
        <sz val="12"/>
        <color rgb="FF0B1E2D"/>
        <rFont val="Tahoma"/>
        <family val="2"/>
      </rPr>
      <t>On 23 March, the Dutch government announced economy-wide quarantine/confinement measures including ban of all social events until 28 April</t>
    </r>
  </si>
  <si>
    <r>
      <t>2.</t>
    </r>
    <r>
      <rPr>
        <sz val="7"/>
        <color rgb="FF2C2825"/>
        <rFont val="Tahoma"/>
        <family val="2"/>
      </rPr>
      <t xml:space="preserve">     </t>
    </r>
    <r>
      <rPr>
        <sz val="12"/>
        <color rgb="FF0B1E2D"/>
        <rFont val="Tahoma"/>
        <family val="2"/>
      </rPr>
      <t xml:space="preserve">EU-wide temporary restriction on non-essential travel to the EU from 16 March until at least 15 April. </t>
    </r>
  </si>
  <si>
    <r>
      <t>3.</t>
    </r>
    <r>
      <rPr>
        <sz val="7"/>
        <color rgb="FF2C2825"/>
        <rFont val="Tahoma"/>
        <family val="2"/>
      </rPr>
      <t xml:space="preserve">     </t>
    </r>
    <r>
      <rPr>
        <sz val="12"/>
        <color rgb="FF0B1E2D"/>
        <rFont val="Tahoma"/>
        <family val="2"/>
      </rPr>
      <t xml:space="preserve">Schools remain closed from 16 March until 6 April. Universities were closed on 13 March. Free childcare is available for parents who work in 'vital sectors' such as e.g. healthcare </t>
    </r>
  </si>
  <si>
    <r>
      <t>4.</t>
    </r>
    <r>
      <rPr>
        <sz val="7"/>
        <color rgb="FF2C2825"/>
        <rFont val="Tahoma"/>
        <family val="2"/>
      </rPr>
      <t xml:space="preserve">     </t>
    </r>
    <r>
      <rPr>
        <sz val="12"/>
        <color rgb="FF0B1E2D"/>
        <rFont val="Tahoma"/>
        <family val="2"/>
      </rPr>
      <t xml:space="preserve">Ban of all public events that require permits from March 23 until at least June 1. </t>
    </r>
  </si>
  <si>
    <t>People's Republic of China</t>
  </si>
  <si>
    <t>Amount (CNY)</t>
  </si>
  <si>
    <t>(i) Policy banks’ credit extension to micro- and small enterprises (CNY350 billion); (ii) support bond issuance by financial institutions to finance SME lending (no amount/estimate).
See Measure 9: No breakdown</t>
  </si>
  <si>
    <t>No amount/estimate: Increased fiscal support for credit guarantees.</t>
  </si>
  <si>
    <t>No amount/estimate: Additional financing support for corporates via increased bond issuance by corporates.</t>
  </si>
  <si>
    <t>No amount/estimate: The government has also taken multiple steps to limit tightening in financial conditions, including  measured forbearance to provide financial relief to affected households, corporates, and regions facing repayment difficulties including delay of loan payments and other credit support measures for eligible SMEs and households and tolerance for higher NPLs for loans by epidemic-hit sectors and SMEs.</t>
  </si>
  <si>
    <t>(i) An estimated CNY2.6 trillion (or 2.5 % of GDP) of fiscal measures or financing plans have been announced, of which 1.2 % of GDP are already being implemented. Key measures include:  Increased spending on epidemic prevention and control; production of medical equipment;  accelerated disbursement of unemployment insurance; tax relief and waived social security contributions; (ii) local governments' infrastructure projects to boost investment amid slowing economic activity and trade headwinds with the United States funded by increase in the ceiling for special local government bonds of 1.3 percent of GDP (about CNY1.4 trillion).  The main buyers of such bonds have been state-owned policy banks.</t>
  </si>
  <si>
    <t>The exchange rate has been allowed to adjust flexibly. A ceiling on cross-border financing under the macroprudential assessment framework was raised by 25% for banks, non-banks and enterprises.</t>
  </si>
  <si>
    <t>(i) February 7,  Strengthening Regional Health Cooperation in the Greater Mekong Subregion (Additional Financing of USD1 million); (ii) February 20, COVID-19 Emergency Response Project (USD18.6 million); (iii) March 30, COVID-19 Emergency Energy Supply Project (USD20 million); (iv) April 15, USD3.6 million reallocated from the Chongqing Longxi River Basin Integrated Flood and Enviromental Risk Management Project to finance purchase of ambulances, medical equipment and personal protection equipment, linked to the broadened diaster risk responses capacity of the project components by extending from flood and pollution emergencies to include public health emergencies.</t>
  </si>
  <si>
    <t>Liquidity injection into the banking system via open market operations, including CNY3 trillion in the first half of February and CNY170 billion in late-March. This activity falls under Measures 1 and 2.</t>
  </si>
  <si>
    <t>CNY per person</t>
  </si>
  <si>
    <r>
      <t>1.</t>
    </r>
    <r>
      <rPr>
        <sz val="7"/>
        <color rgb="FF0B1E2D"/>
        <rFont val="Tahoma"/>
        <family val="2"/>
      </rPr>
      <t xml:space="preserve">     </t>
    </r>
    <r>
      <rPr>
        <sz val="12"/>
        <color rgb="FF0B1E2D"/>
        <rFont val="Tahoma"/>
        <family val="2"/>
      </rPr>
      <t xml:space="preserve">Strict quarantines, particularly in Wuhan (11 million people) and in over 80 cities in Hubei and other provinces - In Beijing, residents returning from other cities or abroad have been asked to self-quarantine for 14 days. The measures differ by province/city, many are mandating quarantine for arrivals from abroad. </t>
    </r>
  </si>
  <si>
    <r>
      <t>2.</t>
    </r>
    <r>
      <rPr>
        <sz val="7"/>
        <color rgb="FF0B1E2D"/>
        <rFont val="Tahoma"/>
        <family val="2"/>
      </rPr>
      <t xml:space="preserve">     </t>
    </r>
    <r>
      <rPr>
        <sz val="12"/>
        <color rgb="FF0B1E2D"/>
        <rFont val="Tahoma"/>
        <family val="2"/>
      </rPr>
      <t>Areas are classified by the extent of risk, the phasing out of infections leads to lower rating on the risk scale</t>
    </r>
  </si>
  <si>
    <r>
      <t>3.</t>
    </r>
    <r>
      <rPr>
        <sz val="7"/>
        <color rgb="FF0B1E2D"/>
        <rFont val="Tahoma"/>
        <family val="2"/>
      </rPr>
      <t xml:space="preserve">     </t>
    </r>
    <r>
      <rPr>
        <sz val="12"/>
        <color rgb="FF0B1E2D"/>
        <rFont val="Tahoma"/>
        <family val="2"/>
      </rPr>
      <t xml:space="preserve">Screening of all passengers, stricter for those arriving from infected places, questionnaires done on board of airplanes. </t>
    </r>
  </si>
  <si>
    <r>
      <t>4.</t>
    </r>
    <r>
      <rPr>
        <sz val="7"/>
        <color rgb="FF0B1E2D"/>
        <rFont val="Tahoma"/>
        <family val="2"/>
      </rPr>
      <t xml:space="preserve">     </t>
    </r>
    <r>
      <rPr>
        <sz val="12"/>
        <color rgb="FF0B1E2D"/>
        <rFont val="Tahoma"/>
        <family val="2"/>
      </rPr>
      <t>Closure of schools and universities. As of 16 March, several cities, not so much affected, have restarted school.</t>
    </r>
  </si>
  <si>
    <r>
      <t>5.</t>
    </r>
    <r>
      <rPr>
        <sz val="7"/>
        <color theme="1"/>
        <rFont val="Tahoma"/>
        <family val="2"/>
      </rPr>
      <t xml:space="preserve">     </t>
    </r>
    <r>
      <rPr>
        <sz val="12"/>
        <color rgb="FF0B1E2D"/>
        <rFont val="Tahoma"/>
        <family val="2"/>
      </rPr>
      <t xml:space="preserve">Cancellation of public events, the extent of stringency varies by city. </t>
    </r>
  </si>
  <si>
    <t>Amount (AMD)</t>
  </si>
  <si>
    <t xml:space="preserve">No amount/estimate: Provided a few foreign exchange swap operations to assure sufficient liquidity in AMD and in foreign currency. </t>
  </si>
  <si>
    <t>Allocate a total of  AMD25 billion  (over USD50 million) to co-finance  loans for companies that borrow money from Armenian banks in the national currency to pay salaries, taxes, bills and purchase raw materials. This amount includes subsidy for the interests of these of loans.</t>
  </si>
  <si>
    <t>JAM News. https://jam-news.net/armenian-govt-offers-stimulus-package-to-help-mitigate-corona-crisis/(accessed 16 April 2020).</t>
  </si>
  <si>
    <t>March, The Central Bank of Armenia (CBA) reduced the policy rate by 25 bps to 5.25% on March 17. The interbank market has been active, and the central bank has easily met liquidity needs so far.</t>
  </si>
  <si>
    <t>(i) No amount/estimate: Subsidize the interest rates of  co-financed loans for companies that borrow money from Armenian banks in the national currency to pay salaries, taxes, bills and purchase raw materials; (ii) a package of AMD30 billion (over USD60 million) for urgent social assistance for the impoverished. 
See Measure 9: No breakdown.</t>
  </si>
  <si>
    <t>Asbarez. http://asbarez.com/193112/pashinyan-unveils-economic-aid-package-amid-state-of-emergency/ (accessed 16 April 2020).</t>
  </si>
  <si>
    <t>(i) No amount/estimate: Provided a few foreign exchange swap operations to assure sufficient liquidity in AMD and in foreign currency. The CBA has undertaken some foreign exchange sales to limit excessive dram volatility since; (ii) the exchange rate has been allowed to adjust flexibly and has depreciated around 3% against the USD since the end of February. No balance of payment or capital control measures have been adopted.</t>
  </si>
  <si>
    <t>22 March, TA9950-REG: Regional Support to Address the Outbreak of Coronavirus Disease 2019 and Potential Outbreaks of Other Communicable Diseases.</t>
  </si>
  <si>
    <t>April 3, The World Bank allocated USD3 million to address the country’s urgent needs for equipment and supplies needed for the intensive care of people with a confirmed COVID-19 diagnosis.</t>
  </si>
  <si>
    <t>WB. https://www.worldbank.org/en/news/press-release/2020/04/03/world-bank-supports-armenia-to-combat-the-human-impact-of-the-covid19-pandemic ((accessed 15  April 2020).</t>
  </si>
  <si>
    <t>AMD9 billion  as part of the government assistance package with a headline amount of at least AMD300 billion (over USD300 million) to mitigate the socio-economic issues related to the pandemic, although this includes a variety of direct spending, state-sponsored loans and increased investment. The key measures  include (i) direct labor subsidies to micro enterprises and SMEs that retain their employees and maintain their wage; (ii) strategic support to innovative companies, although the details of this last element are not yet final.</t>
  </si>
  <si>
    <t>IMF. https://www.imf.org/en/Topics/imf-and-covid19/Policy-Responses-to-COVID-19 (accessed 15  April 2020); Asbarez. http://asbarez.com/193112/pashinyan-unveils-economic-aid-package-amid-state-of-emergency/ (accessed 16 April 2020)</t>
  </si>
  <si>
    <t>AMD per person</t>
  </si>
  <si>
    <t>1. The government declared a national state of emergency on March 16, and imposed strict containment measures, including school closures, travel bans on foreign citizens from high risk countries, and imposed fines to those who violate isolation orders during the state of emergency. The state of emergency will be in place until April 14 and encompass movement restrictions.</t>
  </si>
  <si>
    <t>Amount (AZN)</t>
  </si>
  <si>
    <t>Note</t>
  </si>
  <si>
    <t>Source</t>
  </si>
  <si>
    <t>March 19, (i) The Central Bank of Azerbaijan (CBA) left the refinancing rate unchanged at 7.25%, but raised the floor of the interest rate corridor (within a de facto floor system) by 125 bps to 6.25%; (ii) the authorities have announced their intention to extend the blanket deposit guarantee until December 4, 2020. The guarantee covers all AZN (foreign currency) deposits within a 10 (2.5) % interest rate cap.</t>
  </si>
  <si>
    <t>April 6, Entrepreneurs get state guarantee for 60% of their new bank loans and the government subsidizes half of the interest on guaranteed loans from the state budget; overall state support at AZN 500 million (USD294 million)</t>
  </si>
  <si>
    <t>Caspian News. https://caspiannews.com/news-detail/azerbaijan-takes-measures-to-mitigate-covid-19-impact-on-economy-social-life-2020-4-6-1/ (accessed 15 April 2020).</t>
  </si>
  <si>
    <t xml:space="preserve">March, Azerbaijan is contributing to global efforts to address COVID-19, coordinating with neighboring countries, and has pledged US$ 5 million to WHO’s strategic preparedness and response plan.  
</t>
  </si>
  <si>
    <t>WHO. http://www.euro.who.int/en/countries/azerbaijan/news/news/2020/3/azerbaijan-steps-up-covid-19-preparedness-and-readiness-measures,-welcoming-who-mission (accessed 15  April 2020).</t>
  </si>
  <si>
    <t>April 6,  AZN 1 billion (USD 588 million) for the government's subsidization of 10 percent of the interest for one year of existing company loans.; (ii) No amount/estimate: tax exemptions for micro-enterprises and value-added tax (VAT) exemption for some food and medicinal products, as well as the raw materials that are necessary for making such stuff; (Iii) No amount/estimate:  lump-sum payments in the amount of living wage - AZN190  (USD 112) to 200,000 unemployed citizens of the country. The payment is considered for two months. The social package aims to relieve the impact of the novel coronavirus on the social life of people by multiple tools, including creation of 50,000 paid public jobs, tuition support program for students from socially vulnerable families, financial support program for mortgage and credit guarantee mechanism, program to support communal fees, primarily for electricity consumption of the population, and financial support program for vital passenger transport activities.</t>
  </si>
  <si>
    <t xml:space="preserve">The CBA, with the participation of the State Oil Fund, conducted scheduled and extraordinary foreign exchange auctions, and satisfied all demands for foreign currency at the announced 1.7 AZN/USD rate.
</t>
  </si>
  <si>
    <t>No amount/estimate: testing and personal protective equipment supplies from WHO.</t>
  </si>
  <si>
    <t>March, AZN1 billion is part of the announced support amounting to AZN2.5 billion (3 percent of GDP) to reduce the negative impact of COVID-19 outbreak on the national economy, the entrepreneurship and banking sectors, as well as for strengthening the social protection of the people.</t>
  </si>
  <si>
    <t>AZN per person</t>
  </si>
  <si>
    <t>1. Establishment of the Coronavirus Response Fund under the Decree of the President of the Republic of Azerbaijan of March 19, 2020. The government itself is asking for donations from citizens, organizations, and businesses to help it deal with the disease in Azerbaijan. According to President Ilham Aliyev, the basic goal of the fund is for the people of Azerbaijan to within the limits of their capability, demonstrate their civil solidarity and generosity which are foundations of their society. The fund has raised AZN112 million as of 19 April 2020.</t>
  </si>
  <si>
    <t xml:space="preserve">2. The CBA and commercial banks have shifted to a seven-day work week, including to allow individuals and businesses to convert their manat holdings into foreign currency. </t>
  </si>
  <si>
    <t xml:space="preserve">Source: IMF. https://www.imf.org/en/Topics/imf-and-covid19/Policy-Responses-to-COVID-19 (accessed 15  April 2020); The Coronavirus Response Fund. http://covid19fund.gov.az/en/ (accessed 19 April 2020); eurasianet. https://eurasianet.org/to-fight-coronavirus-azerbaijan-passes-the-hat (accessed 19 April 2020). </t>
  </si>
  <si>
    <t>1. To contain the spread of COVID-19, the authorities have introduced a special quarantine regime (until April 20, 2020). It includes border closures, required quarantine of returning citizens, prohibition of mass gatherings, and restriction on domestic movements.</t>
  </si>
  <si>
    <t>2. The COVID-19 Operational Headquarters has been created under the Cabinet of Ministers, and working groups within various ministries and at the CBA have been tasked with developing specific measures.</t>
  </si>
  <si>
    <t>No amount/estimate: In line with the European Central Bank's (ECB’s) recommendation on dividend distribution during the COVID-19 pandemic, banks were advised to refrain from distributing accumulated profits should this constrains their capacity to meet their clients’ credit and liquidity needs.</t>
  </si>
  <si>
    <t>No amount/estimate: (i) The Luxembourg authorities have intensified off-site oversight of key risks in the banking sector and stepped up surveillance of investment funds, including new requirements for weekly updates on financial data and fund managers’ governance arrangements. They have introduced a draft law which, among others, grants the supervisory bodies powers to extend, for the duration of the COVID-19 crisis, reporting deadlines for entities under their remit; (ii)  Banks were advised to refrain from distributing accumulated profits should this constrains their capacity to meet their clients’ credit and liquidity needs.</t>
  </si>
  <si>
    <t>(i) March 25:  EUR2.5bn  (3.9% of 2019 GDP) loan guarantee facility of the State of 85% of credit lines granted by selected banks between 18 Mar and 31 Dec 2020;  (ii) No amount/estimate: Export guarantees provided by the Office du Ducroire; (iii) No amount/estimate: Companies with cash flow difficulties can request guarantees from the “mutualités de cautionnement”.</t>
  </si>
  <si>
    <t>OECD. https://www.oecd.org/coronavirus/en/ (accessed 19 April 2020).</t>
  </si>
  <si>
    <t>(i) EUR700 million new loan facility by Societe Nationale de Credit et d'Investissement (SNCI, a public bank) in collaboration with commercial banks, with maximum duration of 5 years;  (ii) March 25, EUR300 million for repayable advances to companies, as well as liberal professions, to cover operating costs (repayment will begin 12 months after obtaining the repayable advance).</t>
  </si>
  <si>
    <t>SNCI. https://www.snci.lu/newsfeed/publications/covid-19-special-anti-crisis-financing/ (accessed 13 April 2020); European Commission. https://ec.europa.eu/commission/presscorner/detail/en/ip_20_516 (accessed 11  April 2020);  Mutualite de Cautionnement. https://www.cautionnement.lu/actualites/detail/pme-grandes-entreprises-et-independants-lancement-de-laide-remboursable-covid-19-de-500000-euros/ (accessed 13 April 2020)</t>
  </si>
  <si>
    <t>No amount/estimate: (i) The SNCI has announced the relaxation of repayment conditions for existing loans granted by it, suspending principal repayments for direct and indirect loans at the March 31 and June 30 maturities. The duration of all these financings will be automatically extended by 6 months; (ii)  Commitment by Luxembourg banks to offer a 6-month moratorium on loans for SMEs, self-employed and liberal professionals.</t>
  </si>
  <si>
    <t>Clifford Chance. https://www.cliffordchance.com/content/dam/cliffordchance/briefings/2020/03/Covid-19-Luxembourg-government-takes-economic-measures.pdf (accessed 15 April 2020)</t>
  </si>
  <si>
    <t>Additional expenditures in the context of health and crisis management, notably for the procurement of medical equipment and infrastructure (up to EUR150 million).</t>
  </si>
  <si>
    <t>March 25:(i) EUR1.45bn fiscal package adopted by the Parliament, including: (a) EUR400 million (0.6 percent of 2019 GDP) coverage of employees’ leave for family reasons, (b) EUR1bn (1.6% GDP) paying partial-unemployment benefits, and (c) EUR50 million (0.1% percent of 2019 GDP) providing non-repayable financial aid to micro enterprises; (ii) Part of the fiscal package adopted by the Parliament: Postponing tax and social-security contribution payments for the first two quarters of the year (EUR4.5 billion).</t>
  </si>
  <si>
    <t>1. Temporary suspension of refunds for cancelled package holidays in support of travel agents.</t>
  </si>
  <si>
    <t>2.  Commitment by Luxembourg banks to offer a 6-month moratorium on loans for SMEs, self-employed and liberal professionals.</t>
  </si>
  <si>
    <t>3. The Luxembourg authorities issued guidance on COVID19-related financial crime and AML/CT issues.</t>
  </si>
  <si>
    <t>Source: OECD. https://www.oecd.org/coronavirus/en/ (accessed 19 April 2020);  WTO. https://www.wto.org/english/tratop_e/covid19_e/covid19_e.htm#faq (accessed 19 April 2020).</t>
  </si>
  <si>
    <t>1. People have been encouraged to self-isolate and should only leave the house for essential activities such as food shopping, going to work (note: working-from-home if possible), going to doctors and to help vulnerable people.</t>
  </si>
  <si>
    <t>2. All public gatherings are prohibited.</t>
  </si>
  <si>
    <t xml:space="preserve">3. All cultural and recreational events (incl. sport events) are suspended. </t>
  </si>
  <si>
    <t>4. All schools, universities and kindergartens have been closed since 16 March, until at least the 4 May 2020.</t>
  </si>
  <si>
    <t xml:space="preserve">5. On April 15, the government announced a multiphase lockdown exit strategy, with phases comprising activities/tentative opening dates as follows: phase 1—construction sites and selected activities—including craft, landscaping, and recycling services (April 20); phase 2—secondary education (May 11); phase 3: basic education and childcare facilities (May 25); later phases—commercial activities and the hospitality sector (dates to be determined).
</t>
  </si>
  <si>
    <t>Sources: OECD. http://www.oecd.org/coronavirus/en/ (accessed 19 April 2020); IMF. https://www.imf.org/en/Topics/imf-and-covid19/Policy-Responses-to-COVID-19 (accessed 19 April 2020).</t>
  </si>
  <si>
    <t>Amount (NOK)</t>
  </si>
  <si>
    <t>March 27, The Government Bond Fund will contribute to increased liquidity and capital in the bond market by purchasing interest-bearing securities issued by Norwegian companies on market-based terms.</t>
  </si>
  <si>
    <t>Ministry of Finance. https://www.regjeringen.no/en/aktuelt/mandate-established-for-management-of-government-bond-fund/id2695345/ (accessed 11  April 2020); OECD. https://www.oecd.org/coronavirus/en/ (accessed 19 April 2020).</t>
  </si>
  <si>
    <t>No amount/estimate: (i) Provision of additional liquidity to banks in the form of loans of differing maturities;  (ii) The possibility for banks to borrow in USD against collateral; (iii) The possibility that banks can temporarily breach the liquidity coverage ratio (LCR).</t>
  </si>
  <si>
    <t>No amount/estimate: (i) Reduction of the policy rate by 1.25 percentage points to 0.25%;  (ii) Easing of countercyclical capital buffer by 1.5 percentage points;  (iii) Temporary easing of mortgage regulations, in particular increase in the percent of mortgages that can deviate from the regulations.</t>
  </si>
  <si>
    <t>27 March, In the state guarantee scheme for bank loans to small and medium-sized enterprises the state guarantees 90% of the loans within a total guarantee framework of NOK50 billion.</t>
  </si>
  <si>
    <t>Ministry of Finance. https://www.regjeringen.no/en/aktuelt/economic-measures-in-norway-in-response-to-covid-192/id2695355/ (accessed 12 April 2020).</t>
  </si>
  <si>
    <t>March 27, Increase borrowing limit in Innovation Norway’s loans scheme by NOK1.6 billion (Innovation Norway is the government's  instrument for innovation and development of Norwegian enterprises and industry).</t>
  </si>
  <si>
    <t>Ministry of Finance. https://www.regjeringen.no/en/aktuelt/economic-measures-in-norway-in-response-to-covid-192/id2695355/ (accessed 12 Apr2020); Innovation Norway. https://www.innovasjonnorge.no/en/start-page/ (accessed 11  April 2020).</t>
  </si>
  <si>
    <t>NOK1.1 billion for critical sectors: Health and social services have been given permission to exceed their budgets.</t>
  </si>
  <si>
    <t>Ministry of Finance. https://www.regjeringen.no/en/aktuelt/economic-measures-in-norway-in-response-to-covid-192/id2695355/ (accessed 12 Apr2020).</t>
  </si>
  <si>
    <t>27 March: (i) NOK30.7 billion, mitigating income loss for businesses; (ii) NOK20.8 billion, mitigating income loss for persons; (iii) NOK5.5 billion, other compensation schemes; (iv) NOK2.7 billion, aviation sector support excluding guarantee portion; (iv)  Automatic stabilizers: (a) NOK37 billion reduced tax revenues (Includes increased taxes due to the extensions of the unemployment benefit scheme and new income protection schemes for self-employed and freelancers), (b) NOK18  billion, increased expenditure on unemployment benefits, (c) NOK4 billion, increased sickness allowance.</t>
  </si>
  <si>
    <t>March 19, Establishment of a swap facility of USD30 billion between Norges Bank and the US Federal Reserve (mutual currency arrangement). Amount outstanding as of April 16: USD1.575 billion.</t>
  </si>
  <si>
    <t>IMF. https://www.imf.org/en/Topics/imf-and-covid19/Policy-Responses-to-COVID-19 (accessed 19 April 2020); Federal Reserve Bank of New York. https://apps.newyorkfed.org/markets/autorates/fxswap (accessed 20 April 2020).</t>
  </si>
  <si>
    <t>No amount/estimate: Norges Bank announced that it was continuously considering whether there is a need to intervene in the market by purchasing Norwegian krone.</t>
  </si>
  <si>
    <t>NOK per person</t>
  </si>
  <si>
    <t>1. The Government Bond Fund bond fund was created with a starting capital of NOK 50 billion.  The fund will be managed by Folketrygdfondet, a state-owned asset manager.</t>
  </si>
  <si>
    <t>2. Urging from the Ministry of Finance to banks and insurance companies to not distribute profits.</t>
  </si>
  <si>
    <t>3. Automatic stabilizers:  NOK37 billion reduced tax revenues; NOK18  billion,increased expenditure on unemployment benefits; NOK4 billion, increased sickness allowance.</t>
  </si>
  <si>
    <t>Sources: IMF. https://www.imf.org/en/Topics/imf-and-covid19/Policy-Responses-to-COVID-19 (accessed 11  April 2020); Ministry of Finance. https://www.regjeringen.no/en/aktuelt/economic-measures-in-norway-in-response-to-covid-192/id2695355/ (accessed 12 Apr2020); Ministry of Finance.https://www.regjeringen.no/en/aktuelt/mandate-established-for-management-of-government-bond-fund/id2695345/ (accessed 12April 2020).</t>
  </si>
  <si>
    <t>1. Restrictions on stays outside resident municipality.</t>
  </si>
  <si>
    <t>2. Border control measures included substantial restrictions on incoming foreigners.</t>
  </si>
  <si>
    <t>3. Schools and universities closed from 13 March to 13 April.</t>
  </si>
  <si>
    <t>4. Curtailment of public events/gatherings.</t>
  </si>
  <si>
    <t>Source: OECD. http://www.oecd.org/coronavirus/en/ (accessed 12 April 2020)</t>
  </si>
  <si>
    <t>No amount/estimate: (i) The Banco de Portugal (BdP) has  relaxed some aspects of its macroprudential measures for consumer credit; (ii) Series of measures directed to less significant banks under its supervision: (a)  the possibility to temporarily operate below selected capital and liquidity requirements; (b) a recommendation to restrict dividend distributions; (c) extension of deadlines of some reporting obligations, (d) rescheduling of on-site inspections and the stress test exercise.</t>
  </si>
  <si>
    <t>(i) Direct state guaranteed credit support to companies that are most affected (EUR400 million) and for microenterprises in the tourism sector (EUR60 million); (ii) State guaranteed credit through the banking system: for restaurants (EUR600 million, EUR270 million for SMEs), tourism (EUR200 million, EUR75 million for SME), tourism accommodation (EUR900 million, EUR300 million for SME), industry (EUR1,300 million, EUR400 million for SME), fishing and aquiculture sectors (EUR20 million). Increased ceilings for export credit insurance schemes for metallurgic, mould, metal and mechanical industries (EUR100 million), construction abroad (EUR100 million), short-term exports (EUR50 million).</t>
  </si>
  <si>
    <t>OECD. http://www.oecd.org/coronavirus/en/ (accessed 19 April 2020).</t>
  </si>
  <si>
    <t xml:space="preserve">No amount/estimate: Rescheduling of banking loans, with maturities extended due in the next 6 months until 30/9, with a moratory on capital and interest, and maturities extended for extra 6 months, applicable to (i) housing credit for families most affected (unemployed, laid-off, in prophylactic isolation or ill due to COVID-19) and (ii) loans to firms, self-employed and social institutions. </t>
  </si>
  <si>
    <t>EUR296 million to increase the capacity of the health sector.</t>
  </si>
  <si>
    <t>(i) EUR1 billion per month (0.5% GDP) in financial support for those temporarily furloughed by their employer;  (ii) EUR6.2 billion (3.2% GDP) of (within-year) tax and social security contribution deferrals for companies and employees; (iii) No amount/estimate: Additional financial support is also provided for: the self-employed affected by the virus; people forced to stay home to care for children, and; those sick or in isolation.</t>
  </si>
  <si>
    <t>1. Banco de Portugal (BdP) has given a recommendation to restrict dividend distributions.</t>
  </si>
  <si>
    <t>Source: IMF. https://www.imf.org/en/Topics/imf-and-covid19/Policy-Responses-to-COVID-19 (accessed 19 April 2020).</t>
  </si>
  <si>
    <t>1. Public containment has been implemented on the 19th of March after the announcement of the State of Emergency on the 18th of March.</t>
  </si>
  <si>
    <t>2. Border control with Spain through mutual agreement started on 17th of March. Suspended air, rail, and river connections until 15th of April.</t>
  </si>
  <si>
    <t>3. Suspension of all face-to-face school activities (teaching and non-teaching) from 16th of March to be reassessed on 9th of April.</t>
  </si>
  <si>
    <t>4. Closure of non-essential shops, and all  national monuments and places of cultural activities (both public and private).</t>
  </si>
  <si>
    <t>OECD. http://www.oecd.org/coronavirus/en/ (accessed 12 April 2020)</t>
  </si>
  <si>
    <t>Amount (SEK)</t>
  </si>
  <si>
    <t>IMF. https://www.imf.org/en/Topics/imf-and-covid19/Policy-Responses-to-COVID-19 (accessed 19 April 2020); OECD. http://www.oecd.org/coronavirus/en/ (accessed 19 April 2020).</t>
  </si>
  <si>
    <t>No amount/estimate: (i) Reduction of lending rate for overnight loans by 55 basis points (from 0.75 to 0.2%) while leaving the repo rate unchanged at 0%); (ii) Temporary recognition of all credit institutions under the supervision of the Swedish FSA as counterparties, enabling them to access the new lending facility; (iii) Easing of countercyclical capital buffer by 2.5 percentage points; (iv) extension of the phase-in period for the banks to comply with the new minimum requirements for own funds and eligible liabilities (MREL) until 2024 (from 2022); (v) the Swedish FSA has urged supervised banks and credit institutions to refrain from paying dividends or buying back shares.</t>
  </si>
  <si>
    <t>(i) SEK5 billion in guarantee for airlines; (ii) SEK50 billion increase of the ceiling for credit guarantees from EKN (the agency which insures export companies and banks against the risk of non-payment in export transactions) (to SEK500 billion from SEK450 billion), same amount as during the 2008 financial crisis, the coverage is extended to sea shipping; (iii) SEK75 million of government guarantees on 70% of new bank loans to companies experiencing financial difficulty but otherwise robust.</t>
  </si>
  <si>
    <t>OECD. http://www.oecd.org/coronavirus/en/ (accessed 19 April 2020)</t>
  </si>
  <si>
    <t>(i) The Swedish Export Credit Corporation’s credit framework will be increased from SEK 125 billion to SEK 200 billion and can be used to provide both state-supported and commercial credit to Swedish export companies; (ii)  Almi, a state agency which offers loans to companies with growth potential and assists in their business development, will get a new capital grant of SE 3 billion (about EUR 270 million, 0.06% of GDP) to allow it to lend more to SMEs.</t>
  </si>
  <si>
    <t>Ministry of Finance. https://www.government.se/press-releases/2020/03/increased-loan-facilities-and-credit-guarantees-for-swedish-businesses/ (accessed 12 April 2020); OECD. http://www.oecd.org/coronavirus/en/ (accessed 19 April 2020).</t>
  </si>
  <si>
    <t>Suspension of amortization requirement until June 2021 (banks and borrowers may agree to reduce or suspend amortization payments temporarily).</t>
  </si>
  <si>
    <t>(i) SEK3 billion compensation to municipalities and regions for extraordinary measures and extra costs in health and medical care (raised on 2 April from initial SEK2 billion); (ii) SEK20 billion additional grants to municipalities and regions in 2020, up from SEK5 billion previously planned, of which SEK12.5 billion will be permanent.</t>
  </si>
  <si>
    <t>(i) March 16, SEK20 billion subsidy for short-term lay-offs; (ii) March 20, SEK500 million (EUR 45 million, 0.01% of GDP) for cultural activities that lose revenue as a result of the restriction on public events and the same amount for sports; (iii) March 25, SEK33 billion for temporary reduction of employers' social security contributions to the old age pension contribution; (iv) March 25, SEK5 billion for temporary discount for rental costs in vulnerable sectors (consumer goods, hotels, restaurants and certain other activities), government covering 50%; (v) March 25, SEK20 billion for cancelling taxable profits of SMEs (sole proprietors and partners in Swedish partnerships) for 2019;  (vi) March 25,  SEK315 billion, companies can defer 3 months payment of employer social security contributions, preliminary tax on salaries and VAT for up to 12 months, with interest; (vii) March 25, To support SMEs, it will also be allowed to defer the value-added tax reported annually. Hence, companies can defer the payment of last year's VAT that is due shortly. If this is used to the maximum, it can amount to SEK7 billion; (viii)  SMEs can claim back the preliminary tax paid in 2019 and either pay it later or set it off against future losses (the maximum liquidity reinforcement could amount to SEK13 billion).</t>
  </si>
  <si>
    <t>March 16, SEK300 billion Riksbank increase of purchases of securities in 2020 (including government and municipal bonds, covered bonds and securities issued by non-financial corporations) .</t>
  </si>
  <si>
    <t>Riksbank. https://www.riksbank.se/globalassets/media/nyheter--pressmeddelanden/pressmeddelanden/2020/bilagor/200316/appendix-b-bond-purchases-for-monetary-policy-purposes.pdf (accessed 13 April 2020).</t>
  </si>
  <si>
    <t xml:space="preserve">Establishment of a swap facility of USD60 billion between the Riksbank and the US Federal Reserve (mutual currency arrangement). </t>
  </si>
  <si>
    <t>SEK per person</t>
  </si>
  <si>
    <t xml:space="preserve">1.On 24 March, the FSA stressed that it expects credit institutions to stop this year's dividend payments and use the earnings to further strengthen their capital.
</t>
  </si>
  <si>
    <t>Sources: IMF. https://www.imf.org/en/Topics/imf-and-covid19/Policy-Responses-to-COVID-19 (accessed 19  April 2020);  OECD. http://www.oecd.org/coronavirus/en/ (accessed 19 April 2020).</t>
  </si>
  <si>
    <t>1. On 14 March, the Ministry of Foreign Affairs advised against non-essential travel to all countries.</t>
  </si>
  <si>
    <t>2. Many secondary schools and universities have switched to distance learning.</t>
  </si>
  <si>
    <t>3. Relatives should avoid "unnecessary visits" to hospitals and from 1 April, a ban on visiting elderly care institutions is imposed.</t>
  </si>
  <si>
    <t>4. Events with more than 50 persons are banned since 27 March.</t>
  </si>
  <si>
    <t>Source:  OECD. http://www.oecd.org/coronavirus/en/ (accessed 19 April 2020).</t>
  </si>
  <si>
    <t>Amount (CHF)</t>
  </si>
  <si>
    <t>No amount/estimate: (i)  March 19, The SNB announced  that starting April 1 the threshold factor for exempting sight deposits from negative interest rates would be raised from 25 to 30; (ii) March 27,  the SNB request for deactivation of the countercyclical capital buffer was approved by the Federal Council; (iii)  On the supervisory front, the Swiss Financial Market Supervisory Authority (FINMA) introduced a temporary exclusion of deposits held at the central bank from the calculation of banks’ leverage ratio. FINMA emphasized that the capital released from this relaxation should be used to support liquidity provision and is not to be distributed as dividends or other similar distributions related to 2019.</t>
  </si>
  <si>
    <t>IMF. https://www.imf.org/en/Topics/imf-and-covid19/Policy-Responses-to-COVID-19#U (accessed 19 April 2020); OECD. http://www.oecd.org/coronavirus/en/ (accessed 19 April 2020).</t>
  </si>
  <si>
    <t>(i) March 13, CHF580 million for loan guarantees to SMEs; (ii) March 20, A guarantee program up to CHF20 billion to support bridging loans to SMEs; (iii) April 3, The Federal Council announced doubling the size of the loan guarantee program from CHF20 billion to CHF40 billion.</t>
  </si>
  <si>
    <t>IMF. https://www.imf.org/en/Topics/imf-and-covid19/Policy-Responses-to-COVID-19#U (accessed 19 April 2020).</t>
  </si>
  <si>
    <t>March 18, To address liquidity bottlenecks, the Federal Council ordered a debt enforcement standstill from March 19 to April 4.</t>
  </si>
  <si>
    <t>(i) March 13, up to CHF8 billion for partial unemployment compensation; (ii) March 13, CHF1 billion for financial aid to particularly affected firms; (iii) March 13, CHF 0.42 billion compensation for cancelled events; (iv) March 20, CHF 12 billion for (a) temporary, interest-free deferral of social-security contribution payments; (b) extended payment periods for taxes and payables to federal suppliers; (c) extension of short-time work allowance; and (d) compensation for loss of earnings; (v) March 25, The Federal Council  announced a set of additional measures to support the economy, which are estimated to cost around CHF600 million per month in unemployment insurance.</t>
  </si>
  <si>
    <t>IMF. https://www.imf.org/en/Topics/imf-and-covid19/Policy-Responses-to-COVID-19#U (accessed 19 April 2020); State Secretariat for Economic Affairs.
https://www.seco.admin.ch/seco/de/home/seco/nsb-news.msg-id-78573.html.</t>
  </si>
  <si>
    <t>The SNB activated the U.S. dollar liquidity swap line with the Federal Reserve. Amount outstanding as of April 16: USD11.283 billion.</t>
  </si>
  <si>
    <t>IMF. https://www.imf.org/en/Topics/imf-and-covid19/Policy-Responses-to-COVID-19#U (accessed 19 April 2020); Federal Reserve Bank of New York. https://apps.newyorkfed.org/markets/autorates/fxswap (accessed 20 April 2020).</t>
  </si>
  <si>
    <t>The SNB has increased its interventions in the foreign exchange market to limit appreciation of the Swiss franc. The total size of interventions, proxied by the change in sight deposits held at the SNB, was around CHF45 billion (or 6.5 percent of 2019 GDP), since early February.</t>
  </si>
  <si>
    <t>CHF per person</t>
  </si>
  <si>
    <t>1. On April 3rd the Federal Council announced the coordination of the supply of important medical products.</t>
  </si>
  <si>
    <t>2. The Federal Council mentioned the possibility of restricting exports of important medical products and the possibility to impose the production of some of these medical goods.</t>
  </si>
  <si>
    <t>Source:  OECD. http://www.oecd.org/coronavirus/en/ (accessed 13 April 2020).</t>
  </si>
  <si>
    <t xml:space="preserve">1. Gatherings in public spaces of more than five people are prohibited. </t>
  </si>
  <si>
    <t xml:space="preserve">2. The Federal Council has banned public and private events. </t>
  </si>
  <si>
    <t>3. Classroom teaching is banned at schools, universities and other training and educational institutions. The ban will apply until 19 April 2020.</t>
  </si>
  <si>
    <t xml:space="preserve">4. People from high-risk countries and areas will be refused entry into Switzerland. </t>
  </si>
  <si>
    <t>5. On March 16, the government declared a ban on all private and public events and closing bars, restaurants, sports and cultural spaces.</t>
  </si>
  <si>
    <t>6. While protective and relief measures continue to be rolled out or amended, the authorities also announced a plan to gradually “reopen” the economy starting from the week of April 27.</t>
  </si>
  <si>
    <t>Sources:  OECD. http://www.oecd.org/coronavirus/en/ (accessed 13 April 2020); IMF. https://www.imf.org/en/Topics/imf-and-covid19/Policy-Responses-to-COVID-19#U (accessed 19 April 2020).</t>
  </si>
  <si>
    <t>Amount (GBP)</t>
  </si>
  <si>
    <t>No amount/estimate (i) activating a Contingent Term Repo Facility to complement the Bank of England’s (BoE's) existing sterling liquidity facilities ; (ii) March 17, The Covid Corporate Financing Facility (CCFF) provided jointly with the Treasury provides lending to businesses with minimum amount GBP1 million per participant. The BoE will purchase commercial papers of firms of up to one-year maturity, with interest rate set with a fixed spread to the sterling overnight index swap (OIS) rate. The spread is determined based on rating or equivalent assessment. The scheme will operate for at least 12 months and will be financed by the issuance of central bank reserves.</t>
  </si>
  <si>
    <t xml:space="preserve">Bank of England. https://www.bankofengland.co.uk/news/2020/march/the-covid-corporate-financing-facility (accese 13 April 2020); OECD.  http://www.oecd.org/coronavirus/en/ (acessed 19 April 2020). </t>
  </si>
  <si>
    <t>No amount/estimate:(ii) The Prudential Regulatory Authority (PRA) set out supervisory expectation that banks should not increase dividends or other distributions, such as bonuses, in response to policy actions.</t>
  </si>
  <si>
    <t>No amount/estimate: (i) reducing the Bank Rate by 65 basis points to 0.1%; (ii) reducing the UK countercyclical buffer rate to 0% from a pre-existing path toward 2% by December 2020, with guidance that it will remain there for at least 12 months.</t>
  </si>
  <si>
    <t xml:space="preserve">March 3: The Coronavirus Large Business Interruption Loan Scheme (CLBILS) will provide a government guarantee of 80% to enable banks to make loans of up to GBP25 million to larger firms with an annual turnover of between GBP45 million and GBP500 million (This measure's estimated amount is categorized under Measure 9). </t>
  </si>
  <si>
    <t xml:space="preserve">OECD.  http://www.oecd.org/coronavirus/en/ (acessed 19 April 2020). </t>
  </si>
  <si>
    <t>No amount/estimate: (i) March 11,  Introducing a new Term Funding Scheme to reinforce the transmission of the rate cut, with additional incentives for lending to the real economy, and especially SMEs. The Term Funding Scheme  offers four-year funding at or very close to the Bank Rate; (ii)  March 17: Temporary state loans and guarantee scheme for businesses will be provided through the Coronavirus Business Interruption Loan Scheme (CBILS). CBILS will provide loans of up to GBP5 million for small and medium-sized businesses (this measure's estimated amount is categorized under Measure 9).</t>
  </si>
  <si>
    <t>Bank of England. https://www.bankofengland.co.uk/markets/market-notices/2020/term-funding-scheme-market-notice-mar-2020 (accessed 13 April 2020).</t>
  </si>
  <si>
    <t>GBP5 billion for the National Health Service (NHS) and other public services to tackle the virus (11 March).</t>
  </si>
  <si>
    <t>OECD.  http://www.oecd.org/coronavirus/en/ (acessed 19 April 2020).</t>
  </si>
  <si>
    <t>(i) VAT payments of around GBP30 billion (1.4% of GDP) for the second quarter of 2020 are deferred until 2021 (20 March); (ii) GBP30.5 billion for business support; (iii) GBP 6 billion for welfare support; (iv)  the Coronavirus Job Retention Scheme and the Self-Employed Income Support Scheme are estimated at add around GBP14.7 billion (0.7% of GDP) if the take up is 3.5 million people (or 10% of employees) over three months; (v) The devolved administrations have received additional GBP3.5 billion (0.2% of GDP) funding so they can provide support to businesses in Scotland, Wales and Northern Ireland.</t>
  </si>
  <si>
    <t xml:space="preserve">April 9, HM Treasury and the BoE announced temporary extension to Ways and Means (W&amp;M) facility. As of 8 April 2020, drawings under the W&amp;M facility remain at GBP0.4 billion (The outstanding balance will, as normal, be published weekly on the Bank’s website). </t>
  </si>
  <si>
    <t>Bank of England.  https://www.bankofengland.co.uk/-/media/boe/files/news/2020/april/hmt-and-boe-announce-temporary-extension-to-ways-and-means-facility.pdf?la=en&amp;hash=974CAE1A89719CFB8CAAC7233C95842E2B763895 (accessed 13 April 2020).</t>
  </si>
  <si>
    <t>March 19, Increase of BoE's holdings of UKG government and corporate bonds by GBP200 billion to a total of GB645 billion, financed by central bank reserves.</t>
  </si>
  <si>
    <t>USD liquidity swap amount outstanding as of April 16: USD22.28 billion.</t>
  </si>
  <si>
    <t>Federal Reserve Bank of New York. https://apps.newyorkfed.org/markets/autorates/fxswap (accessed 20 April 2020).</t>
  </si>
  <si>
    <t xml:space="preserve">United Kingdom as donor-country: The government has made available GBP150 million to the IMF’s Catastrophe Containment and Relief Trust. </t>
  </si>
  <si>
    <t xml:space="preserve">GBP330 billion (14.9% of GDP) of temporary state loans and guarantee scheme for businesses. This includes the Coronavirus Corporate Financing Facility (20 March) and the Coronavirus Business Interruption Loan Scheme (CBILS) (17 March). CBILS will provide loans of up to GBP5 million for small and medium-sized businesses (see reference in Measure 3). In addition, the Coronavirus Large Business Interruption Loan Scheme (CLBILS) will provide a government guarantee of 80% to enable banks to make loans of up to GBP25 million to larger firms with an annual turnover of between GBP45 million and GBP500 million (3 March) (see reference in Measure 2). </t>
  </si>
  <si>
    <t>GBP per person</t>
  </si>
  <si>
    <t>1.The Financial Conduct Authority (FCA) introduced a package of targeted temporary measures to support customers affected by coronavirus, including by setting the expectation for firms to offer a payment freeze on loans and credit cards for up to three months.</t>
  </si>
  <si>
    <t xml:space="preserve">1. Economy-wide lockdown since 23 March.
</t>
  </si>
  <si>
    <t>2. The government advised British tourists currently abroad to return to the country, and advised against all non-essential travel worldwide. The warning is in place initially for 30 days.</t>
  </si>
  <si>
    <t>3. Schools are closed except for children of key workers (16 March).</t>
  </si>
  <si>
    <t xml:space="preserve">4. Social distancing is in place. A ban is in place on all social events and gatherings. </t>
  </si>
  <si>
    <t>Amount (AFN)</t>
  </si>
  <si>
    <t>No estimate/amount: The Financial Stability Committee is meeting regularly to assess evolving risks to the financial and monetary stability. Da Afghanistan Bank or DAB (central bank) has intensified its monitoring of banks and indicated its readiness to provide liquidity as needed.</t>
  </si>
  <si>
    <t>(i) The government has so far allocated AFN1.9 billion (0.1% of GDP) in the budget for emergency health needs, such as (a) establishing testing labs, including at border crossings, (b) setting up special wards to boost hospitalization and care capacity, and (c) procuring the most critical medical supplies.  (ii)  Healthcare outlays are expected to rise by 57% (0.55% of GDP) over the course of 2020. Thus, AFN 8.6 billion more is projected but not yet allocated [((AFN1.9 billion x 0.55)/0.1)=AFN10.45 billion - AFN1.9 billion = AFN8.6 billion].</t>
  </si>
  <si>
    <t>IMF. https://www.imf.org/en/Topics/imf-and-covid19/Policy-Responses-to-COVID-19#U (accessed 14 April 2020); ADB estimates.</t>
  </si>
  <si>
    <t>DAB is in discussions with money-service providers, who play a systemic role in financial transactions, to ensure uninterrupted services, including transactions in foreign currency, and to encourage enhancement of their remote services given closures.</t>
  </si>
  <si>
    <t>April 14-Oct 13: IMF Catastrophe Containment And Relief Trust-Grant Assistance For Debt Service Relief, SDR2.4 million (SDR0.729/USD)</t>
  </si>
  <si>
    <t>IMF. https://bit.ly/2Vk0uFb (accessed 19 April 2020).</t>
  </si>
  <si>
    <t>AFN per person</t>
  </si>
  <si>
    <t>1. The government has taken steps to replace wheat imports lost due to border closures with purchases from Central Asia. </t>
  </si>
  <si>
    <t>Source: IMF. https://www.imf.org/en/Topics/imf-and-covid19/Policy-Responses-to-COVID-19#U (accessed 14 April 2020)</t>
  </si>
  <si>
    <t>1. Screening at ports of entry, quarantine for infected people, and closure of public places for gathering.</t>
  </si>
  <si>
    <t>2. Quarantine for infected people.</t>
  </si>
  <si>
    <t>3. Closure of public places for gathering.</t>
  </si>
  <si>
    <t>4. Social distancing measures, including a three-week lockdown of Kabul (March 28) and Ghazni (April 1) and restricting daily movements to those deemed essential.</t>
  </si>
  <si>
    <t>5. Extended the border closures until April 9.</t>
  </si>
  <si>
    <t>Fiscal measures have not been deployed yet. Initial estimates from the health and immigration department suggest an estimated AUD5 million for health expenditures and isolation costs per 500 individuals (approximately 4 percent of the population). Support to the national airlines and other SOEs is likely to be significant and will escalate the longer the duration of the COVID-19 crisis. </t>
  </si>
  <si>
    <t>REG: COVID-19 Emergency Response.</t>
  </si>
  <si>
    <t>The authorities will reduce buffer funds and draw down general reserves to support the needed fiscal measures, including necessary medical expenditures.</t>
  </si>
  <si>
    <t>1. The government has imposed a number of containment measures including a near-total ban on entry by air into Nauru effective March 16th.</t>
  </si>
  <si>
    <t>2. Social distancing measures have been encouraged including limiting or cancelling public gatherings and recommending working arrangements from home where possible.</t>
  </si>
  <si>
    <t>Amount (NPR)</t>
  </si>
  <si>
    <t>No amount/estimate: The Nepal Rastra Bank (NRB) lowered its cash reserve ratio from 4% to 3%.</t>
  </si>
  <si>
    <t>No amount/estimate:  The size of the Refinance Fund has been increased to provide subsidized funding for banks willing to lend at a concessional rate to priority sectors including small and mid-size enterprises affected by the pandemic.</t>
  </si>
  <si>
    <t xml:space="preserve">No amount/estimate: (i) The NRB is no longer requiring banks to build up the 2% countercyclical capital buffer that was due in July 2020; (ii) The NRB temporarily relaxed reporting norms and announced that bank and financial institutions will not be charged or penalized for their non-compliance with regulatory and supervisory requirements as of in April; (iii) NRB reduced interest rate on the standing liquidity facility from 6% to 5%.   </t>
  </si>
  <si>
    <t>No amount/estimate: Health spending will be increased, including by providing additional insurance coverage to all medical personnel fighting the coronavirus, importing additional medical supplies (with duty on said items eliminated), and setting up quarantine centers and temporary hospitals</t>
  </si>
  <si>
    <t>No amount/estimate: Social assistance will be strengthened by providing those most vulnerable with daily food rations, subsidizing utility bills for low-usage customers, extending tax-filing deadlines, and taking measures to partially compensate those in the formal sector for lost wages in the event of job loss.</t>
  </si>
  <si>
    <t>March 25, TA9950-REG: Regional Support to Address the Outbreak of Coronavirus Disease 2019 and Potential Outbreaks of Other Communicable Diseases.</t>
  </si>
  <si>
    <t>April 14-Oct 13: IMF Catastrophe Containment And Relief Trust-Grant Assistance For Debt Service Relief, SDR2.852 million (SDR0.729/USD).</t>
  </si>
  <si>
    <t>NPR per person</t>
  </si>
  <si>
    <t>1. The Nepal Rastra Bank imposed a temporary ban on luxury goods imports, such as gold over 10 kg and vehicles worth over US$ 50 thousand, and will provide minimum currency exchange facility to students without no objection certificate (less than US$ 500 per student) temporarily.</t>
  </si>
  <si>
    <t>2. Removal of import duty on medical suppliies.</t>
  </si>
  <si>
    <t>1. Nationwide lockdown (currently until April 17).</t>
  </si>
  <si>
    <t>2. Ban on domestic and international flights(currently until end-April).</t>
  </si>
  <si>
    <t>3. Closure of cinema halls, stadiums, health clubs, museums, bars and other recreational places through end-April.</t>
  </si>
  <si>
    <t>Amount (PKR)</t>
  </si>
  <si>
    <t>The State Bank of Pakistan's (SBP's) refinancing facilities: (i) (Refinance Facility for Combating COVID-19 to support hospitals and medical centers to purchase equipment to detect, contain, and treat COVID-19  (3% for 5 years with a total size of PKR5 billion); (ii) Temporary Economic Refinancing Facility to stimulate investment in new manufacturing plants and machinery ( 7% for 10 years with a total size of PRK100 billion);  (iii) No amount/estimate: Refinance scheme to support employment and prevent layoff workers  (to finance 3 months of wages; loan repayment will start from January 2020 and can be made in equal 24-month or 8-quarter installments).</t>
  </si>
  <si>
    <t>State Bank of Pakistan. http://www.sbp.org.pk/corona.asp (accesssed 19 April 2020).</t>
  </si>
  <si>
    <t>(i) No amount/estimate: The SBP has responded to the crisis by cutting the policy rate three times by a cumulative 425 basis points to 9.0% in the span of one month; (ii)  SBP introduced temporary regulatory measures to maintain banking system soundness and sustain economic activity, as follows:  (a) reducing the capital conservation buffer by 100 basis points to 1.5%, (b) increase the regulatory limit on extension of credit to SMEs by 44% to PKR180 million ((PKR180 million/1.44) = PKR125 million; PKR180 million - PKR125 million = PKR55 million), (c) relaxation of the debt burden ratio for consumer loans from 50% to 60%, (d) allowing banks to defer clients’ payment of principal on loan obligations by one year, and (e) relaxation of regulatory criteria for restructured/rescheduled loans for borrowers who require relief beyond the extension of principal repayment for one year.</t>
  </si>
  <si>
    <t>Borrowers from corporate, consumer, agriculture, SMEs, and microfinance sectors can avail deferment of principal amount for one year while continue servicing mark up</t>
  </si>
  <si>
    <t>March 24:  (i) PKR200 billion,  relief to daily wage workers; (ii)  PKR150 billion, cash transfers to low-income families; (iii) PKR100 billion, accelerated tax refunds to the export industry; (iv) PKR100 billion, financial support to SMEs; (v) PKR280 billion, resources for an accelerated procurement of wheat; (vi) PKR50 billion, financial support to utility stores; (vii) PKR70 billion, relief in fuel prices;  (viii) PKR110 billion, electricity bill payments relief; (ix)  (PKR100 billion, emergency contingency fund; (x) PKR25 billion, Transfer to the National Disaster Management Authority (NDMA) for the purchase of necessary equipment to deal with the pandemic; (xi) PKR 15 billion total support for health and food supplies; (xii) Provincial governments have also announced fiscalmeasures, broadly consisting of cash grants to the low-income households, tax relief and additional health spending. The government of Punjab, announced a tax relief package of PKR 18 billion and a cash grants program of PKR 1.5 billion, while the government of Sindh has announced a cash grant and ration distribution program of PKR 1.5 billion for the low-income households. The government of Punjab, announced a tax relief package of PKR 18 billion and a cash grants program of PKR 1.5 billion, while the government of Sindh has announced a cash grant and ration distribution program of PKR 1.5 billion for the low-income households.</t>
  </si>
  <si>
    <t xml:space="preserve">(i) March 22,  USD 0.5 million TA9950-REG: Regional Support to Address the Outbreak of Coronavirus Disease 2019 and Potential Outbreaks of Other Communicable Diseases; (ii) March 23, USD0.01 million TA 9392-PAK: Preparing Health Sector Assessment; (iii) March 30,  USD2 million COVID-19 Emergency Response; (iv) April 7, USD50 million National Disaster Rsk Management Fund. </t>
  </si>
  <si>
    <t>PKR per person</t>
  </si>
  <si>
    <t>Elimination of the import duties on imports of emergency health equipment.</t>
  </si>
  <si>
    <t>1.Quarantines in localized areas.</t>
  </si>
  <si>
    <t>2. Closed borders with neighboring countries.</t>
  </si>
  <si>
    <t>3.  International travel restrictions.</t>
  </si>
  <si>
    <t>4. School and university closures.</t>
  </si>
  <si>
    <t>5. Cancellation and banning of public events</t>
  </si>
  <si>
    <t>6. Social distancing measures.</t>
  </si>
  <si>
    <t>5. Varying levels of lockdown in cities and provinces across the country</t>
  </si>
  <si>
    <t>Source: IMF. https://www.imf.org/en/Topics/imf-and-covid19/Policy-Responses-to-COVID-19 (accessed 19  April 2020).</t>
  </si>
  <si>
    <t>Amount (PGK)</t>
  </si>
  <si>
    <t>No amount/estimate: The Bank of Papua New Guinea (BPNG) has reduced the Cash Reserve Requirement to 7% from 10% to provide additional liquidity to the commercial banks.</t>
  </si>
  <si>
    <t>No estimate/amount: (i) March 30, BPNG has reduced the Kina Facility Rate (KFR) – the main policy rate - by 200 basis points to 3% from 5% and has asked the commercial banks to reduce their respective Indicator Lending Rates; (ii) To encourage interbank activity, BPNG has increased the margin on central bank borrowing by 25 basis point to 100 basis points of both sides of KFR.</t>
  </si>
  <si>
    <t>The government has announced PGK600 million credit line to support businesses and individuals in coordination with the banks and financial institutions.</t>
  </si>
  <si>
    <t>No amount/estimate: The government is working with the commercial banks to provide a 3-month buffer on loan repayments. To cover for the 3-month loan repayment holiday, BPNG will relax prudential standards relating to asset quality, capital adequacy and loan-loss provisioning.</t>
  </si>
  <si>
    <t xml:space="preserve"> PGK10 million was released to the National  Department of Health.</t>
  </si>
  <si>
    <t>World  Bank. http://documents.worldbank.org/curated/en/375461585914799688/Stakeholder-Engagement-Plan-SEP-Papua-New-Guinea-COVID-19-Emergency-Response-Project-P173834 (accessed 7 April 2020).</t>
  </si>
  <si>
    <t>No amount/estimate:  The government has asked the superannuation funds to allow members who have been laid off from work due to COVID-19 to access their savings. On April 8, Superfunds announced that its members whose employment was terminated by their employer as a result of COVID-19 will be entitled to a one-off payment of 20 percent of the member’s contribution (PGK500 million support from superannuation savings to employees affected by the economic slowdown).</t>
  </si>
  <si>
    <t xml:space="preserve">No amount/estimate:  BPNG has announced its intention to repurchase government securities in an open market quantitative easing program to provide liquidity to the holders of the instruments. </t>
  </si>
  <si>
    <t xml:space="preserve">BPNG is committed to providing US dollar liquidity to domestic foreign exchange interbank market. </t>
  </si>
  <si>
    <t>On April 2, the PNG government announced a PK5.6 billion economic stimulus package in the parliament. PGK4.49 billion is equal to PGK5.6 billion less PGK600 million credit line (see Measure 3), PGK500 million support from superannuation savings (see Non-Health in Measure 5), and PGK 10 million for health (see Health in Measure 5).</t>
  </si>
  <si>
    <t>PGK per person</t>
  </si>
  <si>
    <t>1. The Bank of Papua New Guinea (BPNG) has directed the Authorized Foreign Exchange dealers to give priority to retailers and wholesalers of medical drugs, medical and pharmaceutical companies, particularly the imports of products related to COVID-19.</t>
  </si>
  <si>
    <t>2. A supplementary budget to accommodate the extra health spending and cut in low priority expenditure will be tabled in the parliament in July.</t>
  </si>
  <si>
    <t>2. On April 2, the PNG parliament voted to shutdown the country and extended the state of emergency which started on March 24 for further two months.</t>
  </si>
  <si>
    <t>Amount (PHP)</t>
  </si>
  <si>
    <t>(i) March 30,  the Bangko Sentral ng Pilipinas (BSP) announced a 200-basis point (bps) reduction of the reserve requirement ratio (RRR) for banks (an estimated additional liquidity of PHP220 billion, which also includes the impact of lowering the policy rate mentioned in Non-lending actions of Measure 2); (ii) No amount/estimate: Easier access to the BSP’s rediscounting facility; (iii) No amount/estimate: April 7, Reduced the Minimum Liquidity Ratio (MLR) for stand-alone thrift banks, rural banks and cooperative banks from 20% to 16% (effective until December 31); (iv): April 16, The BSP also revised the composition of the RRR to include loans granted to micro-, small-, and medium-scale enterprises or MSMEs (equivalent to a cut of more than 2 percentage points [pps] to the RRR; see also [iii] in Non-lending actions of Measure 2).</t>
  </si>
  <si>
    <t>IMF. https://www.imf.org/en/Topics/imf-and-covid19/Policy-Responses-to-COVID-19 (accessed 19 April 2020). BSP. https://drive.google.com/file/d/1ZYm2oNeH8h6iFWSpKp0AZX5VqtQxYclo/view (accessed 20 April 2020).</t>
  </si>
  <si>
    <t>No amount/estimate: (i) The Bangko Sentral ng Pilipinas (BSP) has reduced its policy rate thrice in 2020 by a cumulative 125 bps to 2.75 percent (impact along with reducing required reserves is recorded Non-lending actions of Measure 1); (ii)  Regulatory relief measures for the banking sector: (a) a temporary relaxation of requirements on compliance reporting, penalties on required reserves, and single borrower limits;  and (b) a temporary relaxation of provisioning requirements (subject to the BSP approval); (c) relaxation of prudential regulations regarding marking-to-market of debt securities. These relief measures are intended to encourage banks, in turn, to provide financial relief to their borrowers (e.g., temporary grace period for loan payments). (iii) No amount/estimate: April 16, The BSP also approved a package of measures to further reduce the financial burden on loans to MSMEs including the counting of loans granted to MSMEs under banks' compliance with the reserve requirement (detailed guidelines on this and other related measures to be issued subsequently).</t>
  </si>
  <si>
    <t>IMF. https://www.imf.org/en/Topics/imf-and-covid19/Policy-Responses-to-COVID-19 (accessed 19 April 2020). BSP. http://www.bsp.gov.ph/publications/media.asp?id=5358(accessed 20 April 2020).</t>
  </si>
  <si>
    <t>PHP120 billion credit guarantee for affected small businesses.</t>
  </si>
  <si>
    <t>Department of Finance</t>
  </si>
  <si>
    <t>(i) PHP10 billion Land Bank of the Philippines loan program for LGUs to increase their emergency funding; (ii) PHP2.8 billion additional funding for DA’s Survival and Recovery Assistance Program (SURE Aid)for affected farmers and fishers; (iii) PPHP1.203 billion for DTI loan program for micro, small, and medium enterprises (MSMEs) for enterprise development training and livelihood kits; (iv) Up to PHP15 million loan assistance from the DA for micro and small enterprises engaged in agriculture and fisheries production.</t>
  </si>
  <si>
    <t>No amount/estimate: Implementation of a minimum 30-day grace period for payment of all
loans, without incurring interest on interest, penalties, or other charges.</t>
  </si>
  <si>
    <t>BSP. http://www.bsp.gov.ph/publications/media.asp?id=5329 (accessed 7 April 2020).</t>
  </si>
  <si>
    <t>No amount/estimate: The BSP has relaxed documentary and reporting rules for foreign exchange operations.</t>
  </si>
  <si>
    <t>(i)  March 13, USD3 million COVID-19 Emergency Response Project Gran ; (ii) March 27,  USD5 million  Rapid Emergency Supplies Provision Platform for COVID-19 Impact Areas in NCR.</t>
  </si>
  <si>
    <t>ADB; Department of Finance.</t>
  </si>
  <si>
    <t>(i) USD200 million World Bank Rapid Emergency Supplies Provision Platform
for COVID-19 Impact Areas in NCR; (ii) USD500 million World Bank Third Disaster Risk Management Development Policy Loan.</t>
  </si>
  <si>
    <t>PHP per person</t>
  </si>
  <si>
    <t>1. Healthcare equipment and supplies exempted from import duties, taxes and other fees, due to the COVID19 pandemic.</t>
  </si>
  <si>
    <t xml:space="preserve">2. PHP2.9 billion assistance from Philippine Amusement and Gaming Corporation (PAGCOR) and Philippine Charity Sweepstakes Office (PCSO) is intended for the purchase of medical equipment and supplies (See (i) in Health of Measure 5). </t>
  </si>
  <si>
    <t>3. Banks are also expected to suspend all fees and charges imposed on online banking platforms during the period of regulatory relief.</t>
  </si>
  <si>
    <t>Sources: Department of Finance; WTO. https://www.wto.org/english/tratop_e/covid19_e/covid_measures_e.pdf (accessed 19 April 2020).</t>
  </si>
  <si>
    <t>1. The government has put the Luzon island, including Metro Manila, under an “enhanced community quarantine” starting March 12.</t>
  </si>
  <si>
    <t>2. Suspension of flights from high-risk economies.</t>
  </si>
  <si>
    <t>3. School closures starting  March 12.</t>
  </si>
  <si>
    <t>4. Restrictions on mass gathering.</t>
  </si>
  <si>
    <t>Federal Ministry of Finance. https://www.bundesfinanzministerium.de/Web/EN/Meta/QuickAccess/quickaccess.html%20And%20other (accessed 17 April 2020);
Federal Ministry of Finance. https://www.bundesfinanzministerium.de/Content/EN/Pressemitteilungen/2020/2020-03-23-supplementary-budget.html (accessed 17 April 2020).</t>
  </si>
  <si>
    <t>No amount/estimate: Release of the countercyclical capital buffer for banks from 0.25% to zero.</t>
  </si>
  <si>
    <t>International Monetary Fund (IMF). https://www.imf.org/en/Topics/imf-and-covid19/Policy-Responses-to-COVID-19 (accessed 11 April 2020).</t>
  </si>
  <si>
    <t>(i) March 23, EUR400 billion under the WSF to provide guarantees to companies' debt (up to 60 months); and (ii) EUR63 billion in guarantees by Länder.</t>
  </si>
  <si>
    <t>Federal Ministry of Finance. https://www.bundesfinanzministerium.de/Web/EN/Meta/QuickAccess/quickaccess.html%20And%20other (accessed 17 April 2020);
IMF. https://www.imf.org/en/Topics/imf-and-covid19/Policy-Responses-to-COVID-19#G (accessed 17 April 2020).</t>
  </si>
  <si>
    <t>(i) March 23, EUR100 billion under the WSF to directly acquire equity of larger affected companies and strengthen their capital position; (ii) April 1, EUR2 billion to expand venture capital financing to start-ups, new technology companies, and small businesses during the coronavirus crisis; and (iii) EUR10 billion fund by the state of Bavaria to buy stakes in struggling companies.</t>
  </si>
  <si>
    <t>Federal Ministry of Finance. https://www.bundesfinanzministerium.de/Web/EN/Meta/QuickAccess/quickaccess.html%20And%20other (accessed 17 April 2020);  
Federal Ministry for Economic Affairs and Energy. https://www.bmwi.de/Redaktion/EN/Pressemitteilungen/2020/20200401-customised-support-for-new-businesses-affected-by-the-coronavirus-crisis.html%0b%0b (accessed 17 April 2020); 
Bruegel. https://www.bruegel.org/publications/datasets/covid-national-dataset/#germany (accessed 16 April 2020); 
Deutsche Welle. https://www.dw.com/en/coronavirus-what-countries-are-doing-to-minimize-economic-damage/a-52816921 (accessed 17 April 2020).</t>
  </si>
  <si>
    <t>(i) March 23, EUR3.5 billion for emergency measures, such as procuring protective suits and masks, funding for development of a vaccine and treatment, support services provided by the Federal Armed Forces, assistance for German and European Union citizens abroad, and public outreach to keep the population informed; (ii) EUR55 billion funds made available for further pandemic control projects; and (iii) EUR2.8 billion will be provided by the Federal government as additional funding for hospitals to balance losses due to rescheduled surgeries and to increase intensive care unit (ICU) capacity.</t>
  </si>
  <si>
    <t>Federal Ministry of Finance. https://www.bundesfinanzministerium.de/Content/EN/Pressemitteilungen/2020/2020-03-23-supplementary-budget.html (accessed 17 April 2020); 
OECD. https://www.oecd.org/coronavirus/en/ (accessed 17 April 2020).</t>
  </si>
  <si>
    <t>(i) March 23, EUR50 billion in direct grants to distressed one-person businesses and micro-enterprises; (ii) EUR7.7 billion to expand access to welfare payments such as child allowance and income support, removing means-testing rules, and including self-employed workers; (iii) EUR500 billion (Bruegel estimate) tax deferrals for businesses, that is, EUR70 billion for direct corporate income tax plus EUR430 billion if we include indirect taxes and social contributions (assuming 75% tax deferral and 5% of gross domestic product [GDP] loss in 2020); (iv) EUR10 billion for keeping people employed, by expanding the reduced hours compensation benefit scheme (‘Kurzarbeitergeld’); and (v) Subsidies to loans (included in the EUR357 billion mentioned in Measure 1) made available through KfW.</t>
  </si>
  <si>
    <t>Federal Ministry of Finance. https://www.bundesfinanzministerium.de/Content/EN/Pressemitteilungen/2020/2020-03-23-supplementary-budget.html (accessed 17 April 2020);
Bruegel. https://www.bruegel.org/publications/datasets/covid-national-dataset/#germany (accessed 17 April 2020);
Federal Ministry of Finance and Federal Ministry for Economic Affairs and Energy. https://www.bmwi.de/Redaktion/EN/Downloads/a/a-protective-shield-for-employees-and-companies.pdf?__blob=publicationFile&amp;v=3 (accessed 17 April 2020);
Tax Foundation. https://taxfoundation.org/kurzarbeit-germany-short-work-subsidy-scheme/ (accessed 17 April 2020).</t>
  </si>
  <si>
    <t xml:space="preserve">    ○ Allocated </t>
  </si>
  <si>
    <t>1. Contact ban for meetings of more than two individuals in public, with exemption for household members, have been decided on March 22 across the country for at least 14 days, extended until at least April 19. The Federal States of Bavaria, Saarland, and Saxony have introduced stricter lockdowns.</t>
  </si>
  <si>
    <t>2. Reintroduction of border controls at the internal Schengen borders to France, Luxembourg, Switzerland, Denmark, Italy, Spain, and Austria, with restriction on entry since March 16 and 19. Goods and commuters are allowed to cross the border. On April 2, the government agreed to exceptionally allow seasonal agricultural workers to enter the country under strict requirements after seasonal workers have generally been denied entry from March 25 onward. Travel warning for all countries in place until the end of April. In accordance with the decision at the European level, individuals from outside the EU, with few exceptions, cannot enter the country for at least 30 days starting March 18.</t>
  </si>
  <si>
    <t>3. Most schools and day care centers are closed until mid April.</t>
  </si>
  <si>
    <t>4. Restaurants are closed. Nonessential stores, leisure, and cultural facilities have been closed since March 15 and 16. Larger events were cancelled earlier.</t>
  </si>
  <si>
    <t>Source: OECD. http://www.oecd.org/coronavirus/en/ (accessed 11 April 2020).</t>
  </si>
  <si>
    <t>Amount (JPY)</t>
  </si>
  <si>
    <t>No amount/estimate: Targeted liquidity provision through special funds-supplying operation to provide loans to financial institutions to facilitate financing of corporates and temporary increase of targeted purchases of commercial papers.</t>
  </si>
  <si>
    <t>International Monetary Fund (IMF). https://www.imf.org/en/Topics/imf-and-covid19/Policy-Responses-to-COVID-19 (accessed 13 April 2020).</t>
  </si>
  <si>
    <t>No amount/estimate: The exchange rate has been allowed to adjust flexibly and draw down the stock of high-quality liquid assets below the minimum liquidity coverage ratio requirement.</t>
  </si>
  <si>
    <t>No amount/estimate: An increase in the annual pace of the Bank of Japan’s (BOJ) targeted purchases of corporate bonds.</t>
  </si>
  <si>
    <t>No amount/estimate: (i) The government expanded the volume of concessional loan facilities (interest free without collateral) primarily for micro, small, and medium enterprises affected by COVID-19 through the Japan Finance Corporation and other institutions; (ii) The government will also enhance access to loans with the same conditions from local financial institutions, such as local banks; (iii) To support borrowers during this period of stress, the Financial Services Agency has reassured that banks can assign zero risk weights to loans guaranteed with public guarantee schemes, use their regulatory capital as needed to support funding of affected businesses, and draw down their capital conservation and systemically important bank buffers to support credit supply.</t>
  </si>
  <si>
    <t>Concessional loans from public and private financial institutions (included in the amount of the Emergency Economic Package Against COVID-19 of JPY108.2 trillion).</t>
  </si>
  <si>
    <t>No amount/estimate: An increase in the annual pace of the Bank of Japan’s purchases of Exchange Traded Funds (ETFs) and Japan-Real Estate Investment Trusts (J-REITs).</t>
  </si>
  <si>
    <t>April 7, The Government of Japan adopted the Emergency Economic Package Against COVID-19 of JPY108.2 trillion (20% of gross domestic product [GDP]) and subsumed the remaining part of the previously announced packages (the December 2019 stimulus package (passed in January 2020) and the two COVID-19-response packages announced on February 13 and March 10, respectively). The April package aims at five objectives: (i) Develop preventive measures against the spread of infection and strengthen treatment capacity (expenditure of 0.5% of GDP); (ii) Protect employment and businesses (15.1% of GDP); (iii) Regain economic activities after containment (1.6% of GDP); (iv) Rebuild a resilient economic structure (3% of GDP); and (v) Enhance readiness for the future (0.3% of GDP). The key measures comprise cash handouts to affected households and firms, and deferral of tax payments and social security contributions.</t>
  </si>
  <si>
    <t>IMF. https://www.imf.org/en/Topics/imf-and-covid19/Policy-Responses-to-COVID-19 (accessed 13 April 2020);
Prime Minister of Japan and His Cabinet. https://japan.kantei.go.jp/ongoingtopics/ (accessed 13 April 2020);
Prime Minister of Japan and His Cabinet. https://japan.kantei.go.jp/ongoingtopics/COVID19Response/COVID19April7EEM.pdf (accessed 13 April 2020).</t>
  </si>
  <si>
    <t>No amount/estimate: Increase in the size and frequency of Japanese government bond purchases.</t>
  </si>
  <si>
    <t>(i) April 16, The total outstanding amount is United States dollar (USD)196.02 billion; and (ii) No amount/estimate: March 20, The BOJ in coordination with the Bank of Canada, the Bank of England, the European Central Bank, the Federal Reserve, and the Swiss National Bank enhanced the provision of US dollar liquidity on March 15, by lowering the pricing on the standing US dollar liquidity swap arrangements by 25 basis points.</t>
  </si>
  <si>
    <t>Federal Reserve Bank of New York. https://apps.newyorkfed.org/markets/autorates/fxswap (accessed 20 April 2020).
IMF. https://www.imf.org/en/Topics/imf-and-covid19/Policy-Responses-to-COVID-19 (accessed 13  April 2020).
Bank of Japan. https://www.boj.or.jp/en/announcements/release_2020/rel200320a.pdf (accessed 18 April 2020).</t>
  </si>
  <si>
    <t>Japan as donor: Japan’s additional USD100 million contribution to the International Montary Fund’s Catastrophe Containment and Relief Trust as immediately available resources supports the Fund’s capacity to provide grant-based debt service relief for the poorest and most vulnerable countries to combat COVID-19.</t>
  </si>
  <si>
    <t>JPY per person</t>
  </si>
  <si>
    <t>- na</t>
  </si>
  <si>
    <r>
      <t>1. On April 7, Prime Minister Abe declared a state of emergency for seven key prefectures in Japan (including Tokyo, Saitama, Kanagawa, Chiba, Osaka, Hyogo, and Fukuoka) effective from April 8 to May 6. The declaration will enable prefectural governors in the designated areas to request people to stay at home, order closures of schools and public facilities, build temporary medical facilities, and adopt actions to support medical and food supplies. The 2020 Tokyo Olympic Games have been postponed to July 23</t>
    </r>
    <r>
      <rPr>
        <sz val="12"/>
        <color theme="1"/>
        <rFont val="Calibri"/>
        <family val="2"/>
      </rPr>
      <t>–</t>
    </r>
    <r>
      <rPr>
        <sz val="12"/>
        <color theme="1"/>
        <rFont val="Tahoma"/>
        <family val="2"/>
      </rPr>
      <t>August 8, 2021.</t>
    </r>
  </si>
  <si>
    <t>Source: IMF. https://www.imf.org/en/Topics/imf-and-covid19/Policy-Responses-to-COVID-19 (accesed 11 April 2020).</t>
  </si>
  <si>
    <t>Republic of Korea</t>
  </si>
  <si>
    <t>Amount (KRW)</t>
  </si>
  <si>
    <t xml:space="preserve">No amount/estimate: The Bank of Korea (BOK) has taken several measures to ensure continued accommodative monetary conditions and facilitate financial system liquidity. These include (i) making unlimited amounts available through open market operations (OMOs), (ii) expanding the list of eligible OMO participants to include select nonbank financial institutions, and (iii) expanding eligible OMO collateral to include bank bonds and certain bonds from public enterprises and agencies. </t>
  </si>
  <si>
    <t>To augment available funding for small and medium-sized enterprises (SMEs), the BOK increased the ceiling of the Bank Intermediated Lending Support Facility by a total of KRW5 trillion (about 0.26% of gross domestic product [GDP]).</t>
  </si>
  <si>
    <t xml:space="preserve">No amount/estimate: The BOK lowered the interest rate to 0.25% (from 0.5% to 0.75%) and lowered the Base Rate by 50 basis points, from 1.25% to 0.75%.             </t>
  </si>
  <si>
    <t>Approximately KRW13 trillion have been announced but not yet approved, including (i) direct transfers to low-and middle-income households, social security contribution cuts, and deferrals for affected firms; and (ii) support private consumption and investment through advancing government purchases, increasing consumption tax exemption, and additional policy finance to SMEs and venture companies.</t>
  </si>
  <si>
    <t>The BOK is purchasing Korean Treasury Bonds (KRW1.5 trillion).</t>
  </si>
  <si>
    <t>The BOK opened a bilateral swap line with the United States (US) Federal Reserve for USD12.335 billion. As of April 16, the total outstanding amount was USD12.335 billion.</t>
  </si>
  <si>
    <t>No amount/estimate: Other measures taken to facilitate funding in foreign exchange include (i) raising the cap on foreign exchange forward positions to 50% of capital for domestic banks (previously 40%) and 250% for foreign-owned banks (was 200%), (ii) temporarily suspending the 0.1% tax on short-term nondeposit foreign exchange liabilities of financial institutions, and (iii) temporarily reducing the minimum foreign exchange liquidity coverage ratio for banks to 70% (was 80%).</t>
  </si>
  <si>
    <t>(i) Direct measures amount to 0.8% of GDP (approximately KRW16 trillion, including a supplementary budget for KRW11.7 trillion). This includes (a) health-care measures, (b) loans and guarantees for business operation and support of wages and rent for small merchants; (c) local gift certificates and local government grants for costs of responding; and (d) consumption tax cut for auto purchases, tax cuts for landlords who reduce rent for commercial tenants, value-added tax reduction for the self-employed, and tax payment deferral covering a broad range of taxes for small businesses and the self-employed in medical, tourism, performance, hospitality, and other affected sectors; (ii) March 24, President Moon announced a financial stabilization plan of KRW100 trillion (5.3% of GDP). The main elements are (a) expanded lending of both state-owned and commercial banks to SMEs, small merchants, mid-sized firms, and large companies, (the latter on a case-by-case basis) including emergency lending, partial and full guarantees, and collateralization of loan obligations; (b) a bond market stabilization fund to purchase corporate bonds, commercial paper, and financial bonds; (c) financing by public financial institutions for corporate bond issuance through collateralized bond obligations and direct bond purchases; (d) short-term money market financing through stock finance loans, BOK repo purchases, and refinancing support by public financial institutions; and (e) an equity market stabilization fund financed by financial holding companies, leading financial companies, and other relevant institutions.</t>
  </si>
  <si>
    <t>KRW per person</t>
  </si>
  <si>
    <t>The authorities have implemented comprehensive testing and tracking, which has enabled early isolation and treatment while minimizing widespread mobility restrictions.</t>
  </si>
  <si>
    <t>Amount (HKD)</t>
  </si>
  <si>
    <t>No amount/estimate: The Hong Kong Monetary Authority (HKMA) also introduced measures to increase banking sector’s liquidity, including encouraging banks to deploy their liquidity buffers more flexibly and reducing the issuance size of Exchange Fund Bills.</t>
  </si>
  <si>
    <t>International Monetary Fund (IMF). https://www.imf.org/en/Topics/imf-and-covid19/Policy-Responses-to-COVID-19 (accessed 12 April 2020).</t>
  </si>
  <si>
    <t>No amount/estimate: (i) Under the currency board arrangement, the Base Rate was adjusted downward to 1.5% and 0.86% on March 4 and March 16, respectively, according to a preset formula, following the downward shifts in the target range for the United States (US) federal funds rate. The jurisdictional countercyclical capital buffer was reduced further from 2% to 1% on March 16, and the level of regulatory reserves will be cut by half to increase banks' lending capacity; and (ii) The implementation of the various requirements under the Basel III framework will also be deferred.</t>
  </si>
  <si>
    <t>IMF. https://www.imf.org/en/Topics/imf-and-covid19/Policy-Responses-to-COVID-19 (accessed 12 April 2020);
Hong Kong Monetary Authority. https://www.hkma.gov.hk/media/eng/doc/key-information/guidelines-and-circular/2020/20200330e1.pdf (accessed 15 April 2020).</t>
  </si>
  <si>
    <t>No amount/estimate:  Introduction of low-interest loans for small and medium-sized enterprises (SMEs) with 100% government guarantee.</t>
  </si>
  <si>
    <t>No amount/estimate: Other measures by banks to the extent permitted by their risk management principles, including delay of loan payment, extension of loan tenors, and principal moratoriums for affected SMEs, sectors, and households as appropriate.</t>
  </si>
  <si>
    <t>IMF. https://www.imf.org/en/Topics/imf-and-covid19/Policy-Responses-to-COVID-19 (accessed 12 April 2020).</t>
  </si>
  <si>
    <t>Establishment of a new Anti-Epidemic Fund (HKD30 billion or 1% of gross domestic product [GDP]) to enhance anti-epidemic facilities and services.</t>
  </si>
  <si>
    <t>(i) Tax and fee reliefs and other one-off relief measures (HKD79.5 billion or 2.8% of GDP); (ii) Cash payout to permanent residents aged 18 or above (HKD71 billion or 2.5% of GDP); (iii) Employment subsidy scheme (HKD80 billion or 2.8% of GDP); (iv) Sector-specific relief measures (HKD21 billion or 0.7% of GDP); and (v) Temporary job creation (HKD6 billion or 0.2% of GDP).</t>
  </si>
  <si>
    <t>No amount/estimate: The HKMA also introduced a US dollar funding to local banks by obtaining US dollars from the US Federal Reserve's new temporary repo facility.</t>
  </si>
  <si>
    <t>HKD per person</t>
  </si>
  <si>
    <t>1. Closure of schools.</t>
  </si>
  <si>
    <t>2. Remote work arrangement for civil servants.</t>
  </si>
  <si>
    <t>3. Ban on gatherings of more than four people in a public place.</t>
  </si>
  <si>
    <t>4. Compulsory quarantine for travelers from overseas countries for 14 days.</t>
  </si>
  <si>
    <t>5. Temporary entry ban of nonresident from overseas countries from March 25.</t>
  </si>
  <si>
    <t>6. Reduction and partial suspension of cross-border transport and border control point services, including suspension of transit services at the Hong Kong International Airport.</t>
  </si>
  <si>
    <t>7. Closure of selected social gathering establishments and businesses for 14 days.</t>
  </si>
  <si>
    <t>Source: IMF. https://www.imf.org/en/Topics/imf-and-covid19/Policy-Responses-to-COVID-19 (accessed 12 April 2020).</t>
  </si>
  <si>
    <t>Amount (IDR)</t>
  </si>
  <si>
    <t>Bank Indonesia has injected liquidity to the money market and banking industry totaling nearly IDR300 trillion through various policy measures including (i) purchasing IDR166 trillion of government securities (SBN) in the secondary market; (ii) injecting liquidity to the banking industry totaling more than IDR56 trillion through a term-repo mechanism with underlying SBN transactions held by the banking industry; (iii) lowering the reserve requirement by another 50 basis points, effective from April 1, 2020, generating IDR22 trillion of additional liquidity, after lowering the reserve requirements in 2019 and at the beginning of 2020, which already added around IDR53 trillion of liquidity; and (iv) lowering the foreign currency reserve requirement by 4% to increase foreign currency liquidity in the banking industry by around USD3.2 billion.</t>
  </si>
  <si>
    <t>Bank Indonesia. https://www.bi.go.id/en/ruang-media/siaran-pers/Pages/sp_223020.aspx (accessed 16 April 2020).</t>
  </si>
  <si>
    <t>No amount/estimate: Otoritas Jasa Keuangan (OJK) has relaxed loan classification and loan restructuring procedures for banks to encourage loan restructuring and extended the deadline, by 2 months, for publicly listed companies to release their annual financial reports and hold annual shareholders meetings.</t>
  </si>
  <si>
    <t>The first package includes (i) increase of cash transfer for low-income families; (ii) support for the tourism industry such as discount on airfares to 10 tourism destinations (implementation rescheduled), tax compensation for hotels and restaurants, and tourism grant. The second package includes (i) tax holiday for manufacturing workers in 19 sectors for 6 months, (ii) acceleration of value-added tax restitution, (iii) corporate income tax cut (by 30%) for selected export-oriented manufacturing sectors, and (iv) suspension of import taxes for selected manufacturing sectors. The third package includes (i) social protection; (ii) support for businesses including SMEs via tax incentives and credit payment relief; (iii) health sector (medical equipment procurement [test kits, ventilators] and incentives for medical workers; and (iv) reserve fund for COVID-19 mitigation and prevention.</t>
  </si>
  <si>
    <t>Bank Indonesia has agreed to a repurchase agreement line (repo line) with the United States Federal Reserve worth USD60 billion.</t>
  </si>
  <si>
    <t>Bank Indonesia. https://www.bi.go.id/en/ruang-media/info-terbaru/Pages/Perkembangan-Terkini-Perekonomian-dan-Langkah-BI-dalam-Hadapi-COVID-19-07042020.aspx (accessed 11 April 2020);
IMF. https://www.imf.org/en/Topics/imf-and-covid19/Policy-Responses-to-COVID-19 (accessed 11 April 2020).</t>
  </si>
  <si>
    <t>COVID-19 Emergency Response</t>
  </si>
  <si>
    <t>IDR per person</t>
  </si>
  <si>
    <t>1. Temporary elimination of import certification requirements on imports of onions and garlic, and on certain products, for example, mask and personal protective equipment, due to the COVID-19 pandemic.</t>
  </si>
  <si>
    <t>2. Temporary export ban on antiseptic, raw materials to fabricate masks, personal protective equipment (PPE), ethyl alcohol, and masks, due to the COVID-19 pandemic.</t>
  </si>
  <si>
    <t>Source: WTO. https://www.wto.org/english/tratop_e/covid19_e/covid19_e.htm#faq (accessed 11 April 2020).</t>
  </si>
  <si>
    <t>The government has adopted containment measures, including travel bans on visitors from high-risk countries, screening at ports of entry, some school closures, and other restrictions on public events.</t>
  </si>
  <si>
    <t>Source: IMF. https://www.imf.org/en/Topics/imf-and-covid19/Policy-Responses-to-COVID-19 (accesed 6 April 2020).</t>
  </si>
  <si>
    <t>Amount (FJD)</t>
  </si>
  <si>
    <t>No amount/estimate: The Reserve Bank of Fiji reduced the overnight policy rate to 0.25% from 0.5% on March 18 to counter the economic impact of COVID-19.</t>
  </si>
  <si>
    <t>The Reserve Bank of Fiji tightened exchange controls on April 3, to ensure that adequate foreign reserves can be maintained. It reported that foreign exchange reserves stood at USD968 million (5.6 months of retained imports) as of March 31, 2020.</t>
  </si>
  <si>
    <t>FJD per person</t>
  </si>
  <si>
    <t>1. The authorities have been proactive in their efforts to keep the virus out of Fiji by the early imposition of travel restrictions.</t>
  </si>
  <si>
    <t>2. They reacted to the first confirmed case with a broad set of measures, including social distancing, a lockdown of the affected areas (including the Greater Lautoka and Greater Suva areas), a nationwide curfew and reinforced detection measures.</t>
  </si>
  <si>
    <t>Amount (GEL)</t>
  </si>
  <si>
    <t xml:space="preserve">No amount/estimate: The National Bank of Georgia (NBG) announced measures to support capital and liquidity in the banking sector.
</t>
  </si>
  <si>
    <t xml:space="preserve">The NBG has sold USD100 million in three interventions in the foreign exchange market to prevent disorderly depreciation.
</t>
  </si>
  <si>
    <t>GEL per person</t>
  </si>
  <si>
    <t>1. The government has declared a national state of emergency and adopted containment measures, including social distancing, lock down of high-risk districts, closure of border crossing, travel ban for foreign visitors, quarantine for nationals returning to Georgia, closure of shops (other than groceries and gas stations) and schools.</t>
  </si>
  <si>
    <t>Lao People's Democratic Republic</t>
  </si>
  <si>
    <t>Amount (LAK)</t>
  </si>
  <si>
    <t>No amount/estimate: March 20, The Bank of Lao P.D.R (BOL) announced a reduction in the reserve requirements, from 10% to 8% on foreign exchange, and from 5% to 4% on local currency, effective on April 2.</t>
  </si>
  <si>
    <t>No amount/estimate: (i) March 26, BOL issued a new credit policy for those impacted, asking banks and financial institutions to restructure loans and provide new loans to businesses affected by the outbreak. Under this policy, banks and financial institutions that implement debt restructuring and new loan provisions will benefit from regulatory forbearance on loan classification and provisioning; and (ii) March 30, BOL cut its policy rate from 4% to 3% for 1-week loans; from 5% to 4% for 1–2 week loans; and from 10% to 9% for 2–3 week to 1-year loans.</t>
  </si>
  <si>
    <r>
      <t>(i) LAK10 billion (less than 1% of gross domestic product [GDP]) has been allocated for prevention and control; (ii) No amount/estimate: Recent mitigation policies include income tax exemption for both civil servants and employees of the private sector with income less than LAK5 million per month for 3 months; profit tax exemption for microenterprises with annual income between LAK50</t>
    </r>
    <r>
      <rPr>
        <sz val="12"/>
        <rFont val="Calibri"/>
        <family val="2"/>
      </rPr>
      <t>–</t>
    </r>
    <r>
      <rPr>
        <sz val="12"/>
        <rFont val="Tahoma"/>
        <family val="2"/>
      </rPr>
      <t>LAK400 million for 3 months; duty fee exemption for imports of goods to be used toward the outbreak; deferring tax collection from tourism-related businesses for 3 months; postponing mandatory contribution to social security by affected businesses for 3 months and extending the submission of the 2019 financial report (annual tax filing) by 1 month and road tax payment by 3 months; and (iii) No amount/estimate: Cuts in administrative expenses by at least 10% of annual budget have been approved and intentions to cut unnecessary spending in proportion to revenue shortfall has been signaled.</t>
    </r>
  </si>
  <si>
    <t>No amount/estimate: The Lao People's Democratic Republic (Lao PDR) has a managed exchange rate (crawl-like arrangement). Under this arrangement, the exchange rate has depreciated. No new balance of payment or capital control measures have been adopted.</t>
  </si>
  <si>
    <t>April 7, The World Bank’s Regional Vice-Presidency of the East Asia and Pacific Region approved USD18 million for the Lao PDR to help the country respond to the COVID-19 pandemic. The Lao PDR COVID-19 Response Project supports preparedness and emergency response activities, including infection prevention and control, case detection and contact tracing, case management and risk communication. It also supports the upgrade of surveillance capacity and the skills of health-care workers.</t>
  </si>
  <si>
    <t>World Bank. https://www.worldbank.org/en/news/press-release/2020/04/08/lao-pdr-emergency-financing-for-covid-19-response-project (accessed 16 April 2020).</t>
  </si>
  <si>
    <t>No amount/estimate: A separate budget plan for the effective and efficient implementation of recent government measures and the mobilization of necessary assistance is being considered. A proposed 13-measure economic stimulus package has been endorsed by the Cabinet. Measures include establishing a separate task force to address the economic impact of COVID-19.</t>
  </si>
  <si>
    <t>LAK per person</t>
  </si>
  <si>
    <t>Cuts in administrative expenses by at least 10% of annual budget have been approved and intentions to cut unnecessary spending in proportion to revenue shortfall has been signaled.</t>
  </si>
  <si>
    <t>1. A nationwide lockdown has been declared. Civil servants have been asked to work from home while citizens have to stay home and are not allowed to travel to other provinces. Travel restrictions have been put in place, prohibiting travel to other provinces, suspending domestic passenger transport services, and closing all border checkpoints. Educational institutions, garment and other factories, large projects, and entertainment and sports venues are closed, and large gatherings are banned.</t>
  </si>
  <si>
    <t xml:space="preserve">2. Price control of essential goods has been strengthened. </t>
  </si>
  <si>
    <t>3. Mining operations and construction of hydropower dams have been suspended.</t>
  </si>
  <si>
    <t>4. Several businesses, including hotels, have announced closures while airline companies have reduced both international and domestic flights.</t>
  </si>
  <si>
    <t>5. The Taskforce Committee for COVID-19 Epidemic Prevention, Control and Response is monitoring latest developments and coordinates the authorities’ response. A separate Taskforce Committee has been appointed to address the economic impact of the crisis.</t>
  </si>
  <si>
    <t>Source: IMF. https://www.imf.org/en/Topics/imf-and-covid19/Policy-Responses-to-COVID-19 (accesed 12 April 2020).</t>
  </si>
  <si>
    <t>Amount (MYR)</t>
  </si>
  <si>
    <t>See (ii) in Non-lending actions of Measure 2.</t>
  </si>
  <si>
    <t>The government also setup a MYR50 billion fund for working capital loan guarantees for all COVID-19 affected businesses.</t>
  </si>
  <si>
    <t>(i) A fiscal stimulus package of MYR6 billion (0.4% of GDP) was approved on February 27, including increased health spending, temporary tax relief, a temporary reduction of the Employer Provident Fund (EPF) minimum statutory contribution rate from employees from 11% to 7%, cash transfers to affected sectors, and rural infrastructure spending. Additional measures—electricity discounts and temporary pay leave—for MYR0.62 billion (less than 0.1% of GDP) were announced on March 16; (ii) A second stimulus package of MYR25 billion (1.7% of GDP) was released on March 27, including additional health spending, cash transfers to low-income households, wage subsidies to help employers retain workers, and infrastructure spending in East Malaysia; (iii) No amount/estimate: Furthermore, employees will be allowed special withdrawals from their Employment Provident Fund (EPF) account for a 12-month period and businesses will be allowed to reschedule their EPF payments; and (iv) April 6, The authorities announced a third stimulus package of MYR10 billion (0.7% of GDP), including grantsfor micro, small, and medium enterprises, scaled-upwage subsidies, and a 25% discount on foreign workers’ fees.</t>
  </si>
  <si>
    <t>MYR per person</t>
  </si>
  <si>
    <t>1. On March 23, 2020, the SC and Bursa Malaysia suspended short-selling until April 30.</t>
  </si>
  <si>
    <t/>
  </si>
  <si>
    <t>1. A Movement Control Order (MCO) was put in place for March 18-31 and subsequently extended to April 14, 2020: borders are closed; schools, universities and non-essential businesses are closed; all public gatherings are banned.</t>
  </si>
  <si>
    <t>Amount (MMK)</t>
  </si>
  <si>
    <t>No amount/estimate: Deposit auctions have been halted to maintain adequate liquidity in the interbank market.</t>
  </si>
  <si>
    <t>No amount/estimate: The Central Bank of Myanmar cut the policy interest rate by 0.5 percentage points on March 12 and announced a further 1 percentage point cut to be effective April 1.</t>
  </si>
  <si>
    <t>A COVID 19 Fund worth MMK100 billion (USD70 million, 0.1% of GDP) has been established at the Myanmar Economic Bank to provide soft loans to affected business (particularly the priority garment and tourism sectors and SMEs) at reduced interest rates.</t>
  </si>
  <si>
    <t>(i) The allotment of MMK300 million (USD0.2 million) to the Ministry of Health and Sports for additional health related expenditures; (ii) income and commercial tax payments due in the second and third quarters of the fiscal year have been made extendable to end of the fiscal year, and an exemption for the 2% advance income tax on exports to the end of the fiscal year has been announced; and (iii) No amount/estimate: Households without a regular income will be provided for with food during the upcoming long holidays and electric bills, for up to 150 units, are exempt for most until the end of April.</t>
  </si>
  <si>
    <t>No amount/estimate: The kyat has been allowed to adjust flexibly, with limited rules-based intervention to manage excessive exchange rate volatility.</t>
  </si>
  <si>
    <t>MMK per person</t>
  </si>
  <si>
    <t>1. In response, the government has announced measures to limit the spread of the virus including travel restrictions (including quarantine requirements, suspension of visa issuances and international flights), closure of several land borders, and banning mass public gatherings are in place.</t>
  </si>
  <si>
    <t>2. Yangon and Mandalay will be under lock down during the long holidays (April 10th -– 19th).</t>
  </si>
  <si>
    <t>3. Government employees have been instructed not to travel home and will be compensated for this period.</t>
  </si>
  <si>
    <t>4. A National Central Committee on Prevention, Control and Treatment of 2019 Novel Coronavirus has been established to coordinate the authorities’ response. A second committee, the Control and Emergency Response Committee on COVID-19, was setup on Mar 30th to help with stricter administrative measures to control the spread of the virus including quarantine migrant workers coming from neighboring countries.</t>
  </si>
  <si>
    <t>The Government’s COVID-19 Economic Response Plan with a total value of NZD61 million has three objectives. The first is to stimulate demand through support to local business to ensure that the economy is able to continue to operate, even at a reduced level, during this period of extreme uncertainty surrounding COVID-19. The second is to support the livelihoods of those that are likely to be most affected by the economic fallout, including those required to self-isolate, those that lose their jobs and the elderly and infirm. The third objective is to achieve the first two objectives in a fiscally responsible manner that does not undermine the Government’s ability to undertake further fiscal intervention over the longer-term, should that prove necessary.</t>
  </si>
  <si>
    <t>Ministry of Finance and Economic Management. http://www.mfem.gov.ck/images/MFEM_Documents/COVID-19/Cook_Islands_Economic_Response_to_COVID-19.pdf (accessed 13 April 2020).</t>
  </si>
  <si>
    <t>Economic assessment</t>
  </si>
  <si>
    <t>Amount (KZT)</t>
  </si>
  <si>
    <t>Subsidized lending will be provided under the state program (“Economy of Simple Things”, KZT1 trillion), along with actions to help small and medium-sized enterprises (SMEs) finance their working capital (KZT600 billion).</t>
  </si>
  <si>
    <t>No amount/estimate: Amid pressures, the National Bank (NBK) introduced a limit on bid-ask spread and lowered the ceiling of FX purchase without supporting import documents (from USD100,000 to USD50,000) for the duration of the state of emergency. The President also called on state-owned enterprises to sell part of their FX reserves to support the tenge; and (ii) the NBK has allowed the tenge to adjust, intervening in the market to mitigate excessive volatility.</t>
  </si>
  <si>
    <t>No amount/estimate: On March 10, the National Bank raised its policy rate from 9.25% to 12% and widened the interest rate corridor from 100 to 150 bps, after pressures on the tenge (KZT) intensified with the drop of oil prices. The NBK cut the base rate to 9.5% and further widened the corridor to +/-200 bps in early April to stimulate economic growth.
No amount/estimate: The authorities have also lowered risk weights for SME exposure in tenge (from 75 to 50%) and for FX loans (from 200 to 100%) to encourage lending.</t>
  </si>
  <si>
    <t>No amount/estimate: Banks have been requested to allow loan repayments deferrals until mid-June and refrain from charging penalties for borrowers affected by the emergency.</t>
  </si>
  <si>
    <t>(i) The President announced a significant anti-crisis package (USD13 billion or 9% of GDP) in late March. The anti-crisis package includes cash payments to the unemployed (USD95 per month per person), a 10-percent increase in pension and social benefits, and additional spending to strengthen the health sector (e.g. wage increase, procurement of medical equipment) and support employment and business; (ii) An additional KZT1.8 trillion will be allocated to support employment under an “Employment Roadmap” program; and (iii) No amount/estimate: SMEs and individual entrepreneurs are also eligible for new tax incentives.</t>
  </si>
  <si>
    <t>KZT per person</t>
  </si>
  <si>
    <t>1. No amount/estimate: On March 10, the National Bank (NBK) raised its policy rate from 9.25% to 12% and widened the interest rate corridor from 100 to 150 bps, after pressures on the tenge (KZT) intensified with the drop of oil prices. The NBK cut the base rate to 9.5% and further widened the corridor to +/-200 bps in early April to stimulate economic growth.</t>
  </si>
  <si>
    <t>2. No amount/estimate: Banks have been requested to allow loan repayments deferrals until mid-June and refrain from charging penalties for borrowers affected by the emergency.</t>
  </si>
  <si>
    <t>Source: IMF. https://www.imf.org/en/Topics/imf-and-covid19/Policy-Responses-to-COVID-19 (accesed 13 April 2020).</t>
  </si>
  <si>
    <t>1. President Tokayev announced a 30-day state of emergency from March 16, with the possibility of extension.</t>
  </si>
  <si>
    <t>2. Nur-Sultan and Almaty are under quarantine, a stay-at-home order have been in place since March 28, and all non-essential businesses remain closed.</t>
  </si>
  <si>
    <t>3. Other large cities are also moving to quarantine with bans on entry/exit and social distancing measures.</t>
  </si>
  <si>
    <t>Procurement of essential and emergency supplies and equipment through TA 9950.</t>
  </si>
  <si>
    <t>1. Travel restrictions have been in place since January and borders have been closed on March 21, except for delivery of essential goods (quarantine requirements apply at all ports).</t>
  </si>
  <si>
    <t>2. A press release to prevent speculations and panic was released on March 17 and government task forces have been formed to address commodities and cargo buffers; communication and awareness; isolation centers and containment efforts; and border control.</t>
  </si>
  <si>
    <t>3. A state of public emergency has been declared and schools suspended on March 28.</t>
  </si>
  <si>
    <t>Amount (MVR)</t>
  </si>
  <si>
    <t>The Government of Maldives will ensure through banks, availability of working capital to businesses.
(Note that the amount is included in Measure 5.)</t>
  </si>
  <si>
    <t>No amount/estimate: The Maldives Monetary Authority (MMA) announced measures: (i) reducing the minimum required reserves up to 5% as and when required; (ii) making available a short-term credit facility to financial institutions as and when required; and (iv) increasing its foreign exchange interventions and use other available facilities to maintain the exchange rate peg against the US dollar.</t>
  </si>
  <si>
    <t>No amount/estimate: The Maldives Monetary Authority (MMA) announced introducing regulatory measures to enable a moratorium of 6 months on loan repayments for those impacted by the current situation. Customers have to submit their requests to the banks in order to avail themselves of this moratorium.</t>
  </si>
  <si>
    <t>To minimize the economic impact of the COVID–19 virus, the authorities announced on March 20 an Economic Recovery Plan of MVR2.5 billion (2.8%of GDP). Under the plan, the Government of Maldives will (i) reduce recurrent expenditure by MVR1 billion (1.1% of GDP); (ii) increase the amount of funds allocated for the health sector; (iii) subsidize 40% of electricity bills and 30% of water bills for the months of April and May; and (iv) special allowance to those who lose their jobs due to Covid-19.</t>
  </si>
  <si>
    <t>Obtain a foreign currency swap facility amounting to USD150 million under the currency swap agreement signed between the MMA and the Reserve Bank of India (RBI).</t>
  </si>
  <si>
    <t>Maldives Monetary Authority. http://www.mma.gov.mv/#/news/PR-MCS-2020-3(english).html (accessed 19  April 2020).</t>
  </si>
  <si>
    <t xml:space="preserve">COVID-19 Emergency Response </t>
  </si>
  <si>
    <t>April 2, The World Bank’s Board of Executive Directors approved a USD7.3 million Maldives COVID-19 Emergency Response and Health Systems Preparedness Project to help the country prevent, detect, and respond to the COVID-19 pandemic and strengthen its public health preparedness.  In addition, a USD10 million contingency financing, under Disaster Risk Management Development Policy Financing with a Catastrophe Deferred Drawdown Option (CAT DDO), signed in 2019, has also been made available to support Maldives.</t>
  </si>
  <si>
    <t>The World Bank. https://www.worldbank.org/en/news/press-release/2020/04/02/world-bank-fast-tracks-73-million-covid-19-support-to-maldives (accessed 16 April 2020).</t>
  </si>
  <si>
    <t>MVR per person</t>
  </si>
  <si>
    <t>1. Reduce recurrent expenditure by MVR1 billion (1.1% of GDP).</t>
  </si>
  <si>
    <t>1. The government declared a Public Health Emergency from March 12 to April 10, 2020.</t>
  </si>
  <si>
    <t>2. There are several adopted containment measures, including temporary suspension of on-arrival visa for all passengers arriving to Maldives by air and sea ; quarantine for all passengers traveling to Maldives by air except for tourists checking-in to resorts; screening at ports of entry; restrictions on travel between resorts and inhabited islands; ban on all cruise ships from entering and docking; requirement on all guest houses and city hotels operating in the Maldives to temporally suspend all tourist check-ins since March 17; and school closures.</t>
  </si>
  <si>
    <t>Amount (MNT)</t>
  </si>
  <si>
    <t>No amount/estimate: On March 11, the Bank of Mongolia: (i) reduced the policy rate by 100 bps to 10%; and (ii) narrowed the policy rate corridor to ±1%. On March 18, the BOM and the Financial Regulatory Commission implemented temporary financial forbearance measures on prudential requirements, loan classifications, and restructuring standards.</t>
  </si>
  <si>
    <t>No amount/estimate: A comprehensive set of fiscal measures has been announced, pending parliamentary approval in early April including an increase in credit guarantees to SMEs.</t>
  </si>
  <si>
    <t>No amount/estimate: A comprehensive set of fiscal measures has been announced, pending parliamentary approval in early April including an increase soft loans from the development bank to cashmere producers.</t>
  </si>
  <si>
    <t>(i) Support for Improving the Preparedness and Response to Novel Coronavirus Outbreak; (ii) Fifth Health Sector Development Project; (iii) COVID-19 Emergency Response; and (iv) Regional Improvement of Border Services Project</t>
  </si>
  <si>
    <t>(i) March 25, The World Bank mobilized USD2.2 million to help strengthen Mongolia’s hospital services in the wake of the COVID-19 pandemic. The funding will be used to purchase the most needed medical diagnostic equipment in the country; (ii) April 2, The World Bank’s Board of Executive Directors approved USD26.9 million for the Mongolia COVID-19 Emergency Response and Health System Preparedness Project to meet emergency needs in the face of the pandemic and to better prepare for future health crises.</t>
  </si>
  <si>
    <t>The World Bank. https://www.worldbank.org/en/news/press-release/2020/03/25/mongolia-world-bank-mobilizes-22-million-to-strengthen-medical-diagnostic-services-in-response-to-covid-19 (accessed 16 April 2020);
The World Bank. https://www.worldbank.org/en/news/press-release/2020/03/25/mongolia-world-bank-mobilizes-22-million-to-strengthen-medical-diagnostic-services-in-response-to-covid-19 (accessed 16 April 2020).</t>
  </si>
  <si>
    <t>MNT per person</t>
  </si>
  <si>
    <t>1. The authorities declared the state of high alert on February 13 and quickly implemented a broad range of measures including a travel ban from high-risk countries, temporary suspension of coal exports to People's Republic of China, social distancing, public events cancellations and school and university closures.</t>
  </si>
  <si>
    <t>Amount (BDT)</t>
  </si>
  <si>
    <t>On March 31, the Ministry of Finance announced a BDT50 billion (about USD588 million) stimulus package for exporting industries to be channeled through a refinance scheme operated by Bangladesh Bank. Loan proceeds will be used to pay worker salaries, primarily through mobile financial services, and the scheme is expected to benefit in close to 4 million workers for a three-month period.</t>
  </si>
  <si>
    <t>IMF. https://www.imf.org/en/Topics/imf-and-covid19/Policy-Responses-to-COVID-19 (accesed 14 April 2020).</t>
  </si>
  <si>
    <t>No amount/estimate: (i) Foreign exchange rules were eased by Bangladesh Bank to provide foreign currency to the Bangladeshi nationals who are visiting abroad and facing problem in returning home due to travel disruptions. It also resumed sales of the US dollar to offset extra pressure on the market caused by lower remittance inflows following the COVID-19 outbreak; (ii) The CRR has been reduced from 5% to 4.5% (daily-basis) and from 5.5% to 5% (bi-weekly basis). They will be reduced to 3.5% and 4% from April 15th, respectively.</t>
  </si>
  <si>
    <t xml:space="preserve">The Ministry of Finance will subsidize interest payments on up to BDT500 billion in working capital loans by scheduled banks to businesses.
</t>
  </si>
  <si>
    <t>No amount/estimate: The repo rate has been lowered from 6 percent to 5.75% (effective March 24th) and will be further reduced to 5.25% effective April 12th.</t>
  </si>
  <si>
    <t>No amount/estimate: The Export Development Fund was raised to USD5 billion, with the interest rate now fixed at 2%.</t>
  </si>
  <si>
    <t>No amount/estimate: (i) At end-March, the Ministry of Finance issued a revised budget for FY20 that includes additional resources to fund the Ministry of Health COVID-19 Preparedness and Response Plan, and to expand existing transfer programs that benefit the poor. Increased allocation has been made to the Open Market Sale (OMS) program to facilitate the purchase of rice at one-third of the market price, , and the Ministry of Disaster Management and Relief has distributed more than 24,000 tons of food at the district level. The government also intends to increase allowances for widows and abused women, provide housing for the homeless, and develop cash transfer programs to reach the urban poor; and (ii) The National Board of Revenue has suspended duties and taxes on imports of medical supplies, including protective equipment and test kits.</t>
  </si>
  <si>
    <t xml:space="preserve">The Ministry of Finance will subsidize interest payments as mentioned in Measure 2 on working capital loans by scheduled banks to businesses.
</t>
  </si>
  <si>
    <t>No amount/estimate: The Bangladesh Bank has announced that it will buy treasury bonds and bills from banks.</t>
  </si>
  <si>
    <t>(i) Loan 3131: Skills for Employment IP-Tranche 1; and (ii) TA9950-REG: Regional Support to Address the Outbreak of Coronavirus Disease 2019 and Potential Outbreaks of Other Communicable Diseases</t>
  </si>
  <si>
    <t>April 3, The World Bank approved a fast-track USD100 million financing to help Bangladesh prevent, detect, and respond to the COVID-19 (Coronavirus) pandemic and strengthen its national systems for public health emergencies.</t>
  </si>
  <si>
    <t>The World Bank. https://www.worldbank.org/en/news/press-release/2020/04/03/world-bank-fast-tracks-100-million-covid-19-coronavirus-support-for-bangladesh (accessed 16 April 2020).</t>
  </si>
  <si>
    <t>BDT per person</t>
  </si>
  <si>
    <t>Amount (BND)</t>
  </si>
  <si>
    <t>Effective April 1, (i) businesses in the tourism, hospitality/event management, restaurants/cafes, and air transport sectors (“Affected Sectors”) will be given a six-month deferment of their principal repayments of financing/loans, and (ii) the deferment is also extended to importers of food and medical supplies. The authorities have also introduced an economic relief package, in the form of (a) deferment of principal payment of loans/financing for all sectors, (b) restructuring and deferment of principal amounts on personal loans and hire purchase facilities such as car loans or financing (for not more than 10 years), (c) provision of deferment of principal amount or financing for real estate, (d) restructuring the outstanding credit card balance, and (e) loans for a period of not more than three years for individuals affected in the private sector only (including the self-employed), which will be available for eligible companies and individuals effective from April 1, 2020 to March 31, 2021. This economic relief package, in the form of deferment of principal or loan repayment and exemption of fees and charges is approximately BND250 million.</t>
  </si>
  <si>
    <t>IMF. https://www.imf.org/en/Topics/imf-and-covid19/Policy-Responses-to-COVID-19 (accesed 14 April 2020);
Autoriti Monetari Brunei Darussalam. https://ambd.gov.bn/Lists/News/Displayitem.aspx?ID=462 (accessed 15 April 2020).</t>
  </si>
  <si>
    <t>All bank fees and charges (except third party charges) that are related to trade and payments of transactions in affected sectors mentioned in Measure 3 will be waived for a period of six months.</t>
  </si>
  <si>
    <t>BND per person</t>
  </si>
  <si>
    <t>Amount (KGS)</t>
  </si>
  <si>
    <t>The authorities will safeguard health spending at around budgeted levels and create space for increasing health and other spending once the full impact of mitigation measures is assessed. Additional health expenditure to contain the spread of COVID-19 have been estimated at USD9.4 million (0.1% of GDP) so far and more will most likely be identified as the crisis unfolds.</t>
  </si>
  <si>
    <t>TA9950-REG: Regional Support to Address the Outbreak of Coronavirus Disease 2019 and Potential Outbreaks of Other Communicable Diseases</t>
  </si>
  <si>
    <t>April 2, The World Bank’s Board of Directors approved USD12.15 million from the International Development Association (IDA) for the Kyrgyz Republic Emergency COVID-19 Project. In addition, USD9 million dollars of financing from an on-going World Bank project will be reallocated to support the country’s efforts to prepare for and respond effectively to the health and social risks associated with the global COVID-19 (coronavirus) pandemic.</t>
  </si>
  <si>
    <t>The World Bank. https://www.worldbank.org/en/news/press-release/2020/04/02/kyrgyz-republic-gets-world-bank-financing-to-respond-to-covid-19-pandemic (accessed 16 April 2020).</t>
  </si>
  <si>
    <t>KGS per person</t>
  </si>
  <si>
    <t>1. No amount/estimate: The NBKR raised the policy interest rate by 75 basis points to 5% in February, amid global uncertainty and the increase in inflation.</t>
  </si>
  <si>
    <t>2. Banks and NBFIs should create a loan loss reserve equal to 100% for the amount of overdue accrued interest payments on loans that have been given the status of non-accrual of interest income when overdue arrears are 270 days or more (from the now 90 days).</t>
  </si>
  <si>
    <t>1. The authorities have taken drastic measures to prevent the outbreak, including the closure of borders with People's Republic of China where 36% of imports of goods originate, border restrictions with Kazakhstan and Uzbekistan, the quarantine of people coming from abroad, a lockdown of all non-essential activities, and a curfew.</t>
  </si>
  <si>
    <t>No amount/estimate: To address the emergency caused by COVID-19, the national government plans to use available funds in the Disaster Assistance and Emergency Fund and the Disaster Relief Fund.</t>
  </si>
  <si>
    <t>1. No monetary policy response. With the U.S. dollar its legal tender, the Federated States of Micronesia does not have a central bank.</t>
  </si>
  <si>
    <t>2. No exchange rate policy response, given that U.S. dollar is the legal tender of the Federated States of Micronesia.</t>
  </si>
  <si>
    <t>1. The national and state governments have introduced travel restrictions; banning or requiring 14-day self-quarantine prior to entry into the Federated States of Micronesia; and restricting residents from traveling abroad.</t>
  </si>
  <si>
    <t>2. The state of Chuuk closed schools.</t>
  </si>
  <si>
    <t xml:space="preserve">The government has formulated a Coronavirus Disease Preparedness and Response Plan and is preparing preventive measures amounting to about USD7 million (3.1% of GDP), including construction of quarantine units, purchases of medical equipment, installment of washing stations, and funding for overtime of health workers. </t>
  </si>
  <si>
    <t xml:space="preserve">REG: COVID-19 Emergency Response </t>
  </si>
  <si>
    <t>1. Travel restrictions from affected countries have been imposed since January 24. Entry of all international travelers by commercial flight has been suspended since March 8.</t>
  </si>
  <si>
    <t>2. To ensure food and other supplies, container vessels and fuel tankers have been exempted from entry restrictions, but with strict safety requirements including prohibition of human contacts and a minimum of 14 days between departure from ten restricted countries and arrival in RMI.</t>
  </si>
  <si>
    <t>Source: IMF. https://www.imf.org/en/Topics/imf-and-covid19/Policy-Responses-to-COVID-19 (accessed 13 April 2020).</t>
  </si>
  <si>
    <t>No amount/estimate: (i) Some private banks have introduced loan deferral and forbearance programs for three months; and (ii) The National Development Bank of Palau announced plans to provide financial relief to affected business and households, including interest only payments, term extension, loan consolidation, and temporary payment deferral.</t>
  </si>
  <si>
    <t>The government is taking actions to support the health sector and the economy. The parliament is appropriating an additional USD916,808 (0.3% of GDP) to the Hospital Trust Fund to help with prevention and preparation for COVID-19.</t>
  </si>
  <si>
    <t>The parliament is also authorizing additional funding (up of to USD6 million or 2.1% of GDP) to help maintain government services in the face of declining tourism revenue.</t>
  </si>
  <si>
    <t xml:space="preserve">1. The authorities have adopted early prevention and containment measures. These include travel bans on visitors from some hard-hit countries, health screening at Palau International Airport and Malakal Seaport, school closures, and restrictions on public events.
</t>
  </si>
  <si>
    <t>Amount (INR)</t>
  </si>
  <si>
    <t>IMF. https://www.imf.org/en/Topics/imf-and-covid19/Policy-Responses-to-COVID-19 (accessed 16 April 2020).</t>
  </si>
  <si>
    <t>The RBI introduced long-term repo operations (0.5% of GDP; 1–3 years).</t>
  </si>
  <si>
    <t>No amount/estimate: RBI provided regulatory forbearance on asset classification of loans to micro, small, and medium enterprises (MSMEs) and real estate developers. RBI introduced regulatory measures to promote credit flows to the retail sector and MSMEs.  The Securities and Exchange Board of India temporarily relaxed the norms related to debt default on rated instruments. At the same time, the implementation of the net stable funding ratio and the last stage of the phased-in implementation of the capital conservation buffers were delayed by 6 months. The limit for foreign portfolio investment (FPI) in corporate bonds has been increased to 15% of outstanding stock for FY 2020/21. Restriction on nonresident investment in specified securities issued by the Central Government was removed.</t>
  </si>
  <si>
    <t>No amount/estimate: The RBI provided relief to both borrowers and lenders, allowing companies a 3-month moratorium on loan repayments.</t>
  </si>
  <si>
    <t xml:space="preserve">Prime Minister Modi announced that an additional INR150 billion (about 0.1% of GDP) will be devoted to health infrastructure, including for COVID-19 testing facilities, personal protective equipment, isolation beds, intensive care unit (ICU) beds, and ventilators. </t>
  </si>
  <si>
    <t>March 26, Finance Minister Sitharaman announced a stimulus package valued at approximately 0.8% of GDP. The key elements of the package are (i) in-kind (food, cooking gas) and cash transfers to lower-income households; (ii) insurance coverage for workers in the health-care sector; and (iii) wage support to low-wage workers (in some cases for those still working, and in other cases by easing the criteria for receiving benefits in the event of job loss). Several measures to ease the tax compliance burden across a range of sectors have also been announced, including postponing some tax filing and other compliance deadlines. Numerous state governments have also announced measures to support the health and well-being of lower-income households, primarily in the form of direct transfers (free food rations and cash transfers)—the magnitude of these measures varies by state, but on aggregate measures thus far amount to approximately 0.2% of India’s GDP.</t>
  </si>
  <si>
    <t>RBI entered into a swap currency agreement with the facility with the Maldives Monetary Authority amounting to USD150 million.</t>
  </si>
  <si>
    <t>(i) April 16, USD2 million approved allocation for Building Capacity for Improved Implementation of Government’s COVID-19 Response and Pro-Poor Economic Package; (ii) April 9, USD1 million approved allocation for Enhancing Micro, Small, and Medium-Sized Enterprises Finance Project; (iii) April 3, USD1 million approved allocation for TA8899: Strengthening Capacity of the National Urban Health Mission (Supplementary).</t>
  </si>
  <si>
    <t>INR per person</t>
  </si>
  <si>
    <t>Amount (WST)</t>
  </si>
  <si>
    <t xml:space="preserve">No amount/estimate: The Central Bank of Samoa (CBS) will make sure to maintain ample liquidity in the banking system to support businesses and stands ready to activate its lending facilities for financial institutions. </t>
  </si>
  <si>
    <t>No amount/estimate: The CBS continues to maintain an accommodative monetary policy. The CBS will encourage commercial banks to reduce interest rates, and/or associated bank fees and charges.</t>
  </si>
  <si>
    <t>No amount/estimate: The proposed fiscal and economic response package includes provision of a 3-month grace period to be applied for all loan payments.</t>
  </si>
  <si>
    <t>The government has put together the first phase of the fiscal and economic response package, amounting to WST66.3 million (3% of gross domestic product [GDP]). April 7, The package was approved by parliament and is centered around the mission of “Support the private sector so they can feed the nation."</t>
  </si>
  <si>
    <t>No amount/estimate: The package includes expenditure to cover immediate medical response (See Measure 5: Direct support to income/revenue).</t>
  </si>
  <si>
    <t>No amount/estimate: To compensate part of the losses in interest income, local commercial banks will receive payments from the government.  (i) Support for the private sector includes (a) a temporary exemption on import duties on most commonly bought food items for households, (b) duty concessions to be applied to an expanded list of agricultural and fishing materials, (c) and a 6-month moratorium on pension contributions for the hospitality sector (See Measure 5: Direct support to income/revenue).  (ii) Support for citizens includes (a) establishment of the Emergency Price Control Board to keep wholesale and retail prices in check and bring them down, if necessary; (b) provision of financial assistance to members of the National Provident Fund in the form of a refund of their loan payments for March 2020; (c) and a temporary reduction of utility bills (both electricity and water) for 6 months through September 2020 (See Measure 5: Direct support to income/revenue).</t>
  </si>
  <si>
    <t>April 15, USD6 million approved allocation for REG: Pacific Disaster Resilience Program (Phase 2). USD2.9 million was disbursed to help finance its response to the COVID-19 pandemic on the same day.</t>
  </si>
  <si>
    <t>Forex as of Feb 2020</t>
  </si>
  <si>
    <t>WST per person</t>
  </si>
  <si>
    <t xml:space="preserve">1. The government is taking full precautions and preventive measures to control the transmission of COVID-19, including preparation of the health system to treat and care for patients. </t>
  </si>
  <si>
    <t>2. Social distancing measures are also in effect.</t>
  </si>
  <si>
    <t xml:space="preserve">3. The government declared a State of Emergency on March 20 and instructed the public to avoid mass gatherings (of five or more people), and unnecessary travel. </t>
  </si>
  <si>
    <t xml:space="preserve">4. The amended State of Emergency Orders was signed into law on March 26, which gives police officers the legal authority to enforce the Emergency Orders to the full extent of the law. </t>
  </si>
  <si>
    <t>5. Samoa implemented travel restrictions to protect citizens of the country on January 24, among the first countries in the world to do so and has gradually tightened the rules.</t>
  </si>
  <si>
    <t>Source: IMF. https://www.imf.org/en/Topics/imf-and-covid19/Policy-Responses-to-COVID-19 (accessed 16 April 2020).</t>
  </si>
  <si>
    <t>Amount (SGD)</t>
  </si>
  <si>
    <t>No amount/estimate: Monetary Authority of Singapore (MAS) is providing sufficient liquidity to Singapore dollar (SGD) and United States dollar (USD) funding markets in Singapore and supporting their effective functioning.  This will enable financial institutions to fund themselves, intermediate credit to individuals and businesses, and provide essential financial services.  MAS has been providing ample SGD liquidity to the banking system through its daily money market operations (MMO).  MAS has also significantly stepped up its provision of USD liquidity to the banking system, increasing the volume of foreign exchange swaps transacted at its daily MMO by about 25% over the past 2 weeks.</t>
  </si>
  <si>
    <t>MAS. https://www.mas.gov.sg/news/media-releases/2020/mas-and-financial-industry-to-support-individuals-and-smes-affected-by-the-covid-19-pandemic (accessed 18 April 2020).</t>
  </si>
  <si>
    <t>No amount/estimate: March 30, The MAS adopted a 0% per annum rate of appreciation of the policy band and reduced the midpoint to the prevailing level of the SGDNEER, with no change to the width of the band.</t>
  </si>
  <si>
    <t>The authorities have announced three measures on February 18, March 26, and April 6, amounting to a total stimulus package of SGD59.9 billion (12.2% of gross domestic product [GDP]), including loan capital of SGD20 billion.</t>
  </si>
  <si>
    <t>Part of the package in includes funds to contain the outbreak of around SGD800 million, mainly to the Ministry of Health (See Actions that increase liabilities to the central bank or government of Measure 3).</t>
  </si>
  <si>
    <t>(i) The Care and Support Package provides support to households (SGD5.7 billion), including a cash payout to all Singaporeans, and additional payments for lower-income individuals and the unemployed; (ii) The Stabilization and Support Package provides support to businesses (about SGD31.5 billion), including wage subsidies, an enhancement of financing schemes, and additional support for industries directly affected and the self-employed, and introduces other economic resilience measures (SGD1.9 billion); (iii) April 8, The MAS announced a SGD125 million support package to sustain and strengthen capabilities in the financial services and FinTech sectors. The support package, funded by the Financial Sector Development Fund, has three main components: (a) supporting workforce training and manpower costs, (b) strengthening digitalization and operational resilience, and (c) enhancing FinTech firms’ access to digital platforms and tools.</t>
  </si>
  <si>
    <t>IMF. https://www.imf.org/en/Topics/imf-and-covid19/Policy-Responses-to-COVID-19 (accessed 18 April 2020).</t>
  </si>
  <si>
    <t>March 19, The MAS announced the establishment of a USD60 billion swap facility with the US Federal Reserve. The MAS intends to draw on this swap facility to provide US dollar liquidity to financial institutions in Singapore. As of April 16, the outstanding balance is USD6.096 billion.</t>
  </si>
  <si>
    <t>SGD per person</t>
  </si>
  <si>
    <t>A full lockdown is in place until May 4.</t>
  </si>
  <si>
    <t>Amount (SBD)</t>
  </si>
  <si>
    <t>No amount/estimate: The central bank has confirmed its commitment to continue maintaining an expansionary monetary policy stance for the next 6 months.</t>
  </si>
  <si>
    <t>No amount/estimate: (i) The government has scaled down nonessential public services and will support affected public officers with one-off travel allowance; (ii) The government has not laid off any public servants, but instead required them to take leave on half pay; (iii) The National Provident Fund has made funds available to its members that are temporarily laid off or returned home; (iv) Two state-owned enterprises (Solomon Islands Ports Authority and Solomon Islands Electricity Authority) are providing dividend payments to support the government’s COVID-19 preparedness and response plan.</t>
  </si>
  <si>
    <t>(i) April 14-Oct 13: IMF Catastrophe Containment And Relief Trust-Grant Assistance For Debt Service Relief, SDR59,428 (SDR0.729/USD); (ii) No amount/estimate: The government is receiving funds and medical supplies from several countries, including Australia, the People's Republic of China, New Zealand, and the United States to support its COVID-19 response.</t>
  </si>
  <si>
    <t xml:space="preserve">No amount/estimate: March 27, The Prime Minister announced that the government is putting together a stimulus package and will implement fiscal measures to counter the global pandemic and to support local businesses. </t>
  </si>
  <si>
    <t>Forex as of Jan 2020</t>
  </si>
  <si>
    <t>SBD per person</t>
  </si>
  <si>
    <t xml:space="preserve">1. The government has implemented measures to prevent the entry of COVID-19 including suspension of all international flights, no entry of noncitizens, and strict mandatory quarantine for all returning passengers. </t>
  </si>
  <si>
    <t>2. In addition, the government has declared a state of emergency, scaled down public services to essential services only and temporarily closed entertainment places in, as well as restrict travel of its citizens to its capital, Honiara.</t>
  </si>
  <si>
    <t>Source: IMF. https://www.imf.org/en/Topics/imf-and-covid19/Policy-Responses-to-COVID-19 (accessed 13 April 2020).</t>
  </si>
  <si>
    <t>(i) EUR100 billion in Instituto de Crédito Oficial (ICO), Spain's official financial agency, credit guarantee programs for companies and the self-employed, both for refinancing and new credit. The first tranche is up to EUR20 billion, divided into two subtranches: (a) EUR10 billion for renewals and new loans granted to the self-employed and small and medium-sized enterprises (SMEs) and (b) EUR10 billion for renewals and new loans granted to companies that do not to qualify as an SME; (ii) EUR2 billion in guarantees through the Spanish Export Insurance Credit Company.</t>
  </si>
  <si>
    <t>OECD. http://www.oecd.org/coronavirus/en/ (accessed 12 April 2020).</t>
  </si>
  <si>
    <t>(i) EUR400 million specific ICO financing facility to support, through liquidity provision, firms and self-employed workers in the tourism sector affected by COVID-19 (loans 1–4 years); (ii) EUR10 billion increase in the net borrowing limit of the ICO to increase existing lines of credit.</t>
  </si>
  <si>
    <t>EUR10 billion moratorium on mortgage loan payments on primary homes for those identified as economically vulnerable, facing extraordinary difficulties procuring payment as a result of the COVID-19 pandemic.</t>
  </si>
  <si>
    <t>(i) Budget support from the contingency fund to the Ministry of Health (EUR1 billion); (ii) Advance transfer to the regions for regional health services (EUR2.8 billion) [April 20 applies to (i) and (ii)]; (iii) March 17, Additional funding for research related to the development of drugs and vaccines for COVID-19 (EUR110 million); (iv) No amount/estimate: April 7, Exemption of fees in procedures for the authorization of clinical trials for research for medicines related to COVID-19.</t>
  </si>
  <si>
    <t>(i) EUR14 billion in deferred tax expenditure for 6 months for SMEs and the self-employed was provided; (ii) March 17, EUR5 billion in additional public expenditure corresponding to the package of measures to add flexibility to the economy, to preserve jobs, to support workers, firms, families and vulnerable groups, and to fund research on COVID-19. The package includes, among other measures (a) EUR300 million additional budgetary funds and further budget flexibility for the provision of assistance to dependents, and (b) transfer of EUR25 million to autonomous communities funding meals for children affected by the school closure; (iii) No amount/estimate: (a) Entitlement of unemployment benefit for workers temporarily laid off under the Temporary Employment Adjustment Schemes (ERTE) due to COVID-19, with no requirement for prior minimum contribution or reduction of accumulated entitlement; (b) increased sick pay for COVID-19 infected workers or  those quarantined, from 60% to 75% of the regulatory base, paid by the Social Security budget; (c) an allowance for self-employed workers affected by economic activity suspension; (d) a temporary subsidy for household employees affected by COVID-19 with an amount equal to 70% of their contribution base; (e) a temporary monthly allowance of about EUR430 for temporary workers  whose contract (at least 2 months’ duration) expires during the state of emergency and are not entitled to collect unemployment benefits; and (iv) No amount/estimate: Guaranteed supply of water, electricity, and gas regardless of payment to consumers identified as vulnerable or at risk of social exclusion.</t>
  </si>
  <si>
    <t>OECD. http://www.oecd.org/coronavirus/en/ (accessed 12 April 2020). Bruegel. https://www.bruegel.org/publications/datasets/covid-national-dataset/#spain (accessed 12 April 2020).</t>
  </si>
  <si>
    <t xml:space="preserve">1. Mandated nation-wide quarantine for at least 15 days since March 15, which has been further extended until April 11 and then to April 26. </t>
  </si>
  <si>
    <t>2. Suspension of all nonessential work from March 30 to April 9, inclusive.</t>
  </si>
  <si>
    <t xml:space="preserve">3. Land borders are closed except for Spanish citizens, residents and land transportation of goods (March 16). </t>
  </si>
  <si>
    <t>4. Mar 23, Airport and port border restrictions have been introduced for 30 days.</t>
  </si>
  <si>
    <t>5. March 11, Ban on direct flights from Italy, except for flights transporting Spanish citizens or residents.</t>
  </si>
  <si>
    <t xml:space="preserve">6. Closure of schools nationwide since March 12. </t>
  </si>
  <si>
    <t xml:space="preserve">7. March 26, Closure of hotels. Closure of all retail spaces, except those selling food and essential items. Closure of restaurants, which will only be able to maintain food delivery services. Closure of museums, libraries, public show venues (cinemas and theaters). Sport events and local celebration events have been suspended. </t>
  </si>
  <si>
    <t>Amount (LKR)</t>
  </si>
  <si>
    <t xml:space="preserve">No amount/estimate: State-owned financial institutions will invest in treasury bonds and bills to stabilize the money market interest rate at 7%. </t>
  </si>
  <si>
    <t xml:space="preserve">No amount/estimate: The required reserve ratio on domestic currency deposits of commercial banks has also been lowered by 1 percentage point to ease liquidity conditions.  </t>
  </si>
  <si>
    <t xml:space="preserve">No amount/estimate: The Central Bank of Sri Lanka (CBSL) has reduced monetary policy rates by 50 basis points since March. Lower capital conservation buffer requirements and a relaxation of loan classification rules have been announced. </t>
  </si>
  <si>
    <t>No amount/estimate: Concessional loans and food allowances for low-income consumers (beneficiaries of the Samurdhi program) have been provided.</t>
  </si>
  <si>
    <t>No amount/estimate: The President has announced a wide-ranging debt repayment moratorium, which includes a 6-month moratorium on bank loans for the tourism, garment, plantation and IT sectors, related logistics providers, and small and medium industries, with reduced rate working capital loans and investment-purpose loans for these sectors. There will also be a 6-month moratorium on leasing loans for three-wheelers, and a 3-month moratorium on small-value personal banking and leasing loans. Financial institutions are also requested to reschedule nonperforming loans. The interest rate on credit cards will be capped, for transactions up to a certain amount, with a reduction in the minimum monthly repayment.</t>
  </si>
  <si>
    <t xml:space="preserve">(i) The government has allocated up to 0.1% of GDP for quarantine and other containment measures; and (ii) USD5 million (0.01% of GDP) to the South Asian Association for Regional Cooperation (SAARC) COVID-19 Emergency Fund.  </t>
  </si>
  <si>
    <t xml:space="preserve">March 30, The President recently announced that cash transfer payments totaling around 0.1% of GDP will also be made to vulnerable groups. The 2020 first quarter payment deadlines for income tax, value-added tax, and certain other taxes have been extended until end-April. Other measures announced include tax exemptions for imported masks and disinfectant; price ceilings on essential food items such as eggs, lentils, and fish. The President has also established a special fund for containment, mitigation, and social welfare spending, inviting local and foreign tax-free donations.
</t>
  </si>
  <si>
    <t>(i) USD0.1 million allocation for TA9950-REG: Regional Support to Address the Outbreak of Coronavirus Disease 2019 and Potential Outbreaks of Other Communicable Diseases; (ii) USD0.6 million for Grant 0618: Health Systems Enhancement Project.</t>
  </si>
  <si>
    <t>LKR per person</t>
  </si>
  <si>
    <t xml:space="preserve">1. As of April 2, there have been net capital outflows of around USD380 million (0.4% of GDP) since mid-February, mostly from the domestic treasury securities market. The Sri Lankan currency has also depreciated by around 10% against the US dollar since that time. Sri Lanka’s EMBIG spread almost tripled in March. </t>
  </si>
  <si>
    <t xml:space="preserve">2. The Sri Lankan authorities have introduced measures for a period of 3 months, aimed at restricting capital outflows, through suspension of outward investment payments, and a prohibition on commercial banks purchasing Sri Lankan sovereign bonds.  </t>
  </si>
  <si>
    <t>3. There are also some current account restrictions, suspending imports of nonessential goods except pharmaceutical products and fuel, as well as prohibiting commercial banks facilitating imports of vehicles and nonessential goods, and suspension of outward remittances.</t>
  </si>
  <si>
    <t>4. Inward remittances will be exempted from certain regulations and taxes.</t>
  </si>
  <si>
    <t>Source: IMF. https://www.imf.org/en/Topics/imf-and-covid19/Policy-Responses-to-COVID-19 (accessed 12 April 2020).</t>
  </si>
  <si>
    <t>1. Since March 16, the authorities have closed schools and public offices with limited exceptions for banking and retail activity, while nonessential workers have been required to work from home.</t>
  </si>
  <si>
    <t xml:space="preserve">2. The authorities suspended all arriving international flights and ships, while imposing a strict nation-wide curfew since March 20. </t>
  </si>
  <si>
    <t>3. The Colombo Stock Exchange has been closed since March 23.</t>
  </si>
  <si>
    <t>Amount (TJS)</t>
  </si>
  <si>
    <t>No amount/estimate: The National Bank of Tajikistan (NBT) lowered the reserve requirement to boost liquidity in the system.</t>
  </si>
  <si>
    <t>No amount/estimate: The NBT allowed a one-off 5% depreciation of the somoni to adjust the official exchange rate with the cash market rate. Foreign exchange liquidity has been provided to banks.</t>
  </si>
  <si>
    <t>March 13, Approved allocation for G0627 Maternal and Child Health Integrated Care Project.</t>
  </si>
  <si>
    <t>(i) April 14-Oct 13: IMF Catastrophe Containment And Relief Trust-Grant Assistance For Debt Service Relief, SDR7.83 million (SDR0.729/USD); (ii) No amount/estimate: The authorities have requested disbursement under IMF Rapid Credit Facility instrument. Discussions with other development partners, including the World Bank are ongoing on financial support to Tajikistan.</t>
  </si>
  <si>
    <t>TJS per person</t>
  </si>
  <si>
    <t>Prices of staple goods have pushed headline inflation around outside of the NBT’s target range in March, reaching 9.2%.</t>
  </si>
  <si>
    <t>Source: IMF. https://www.imf.org/en/Topics/imf-and-covid19/Policy-Responses-to-COVID-19 (accessed 16 April 2020).</t>
  </si>
  <si>
    <t xml:space="preserve">1. The authorities have instituted a high-level task force and taken a range of measures to contain the spread of the virus, including border closures, travel restrictions, and suspending prayers at mosques. </t>
  </si>
  <si>
    <t>2. The task force is preparing for potential outbreak by arranging testing labs, medical equipment, supplies, and personnel across the country.</t>
  </si>
  <si>
    <t>Amount (TWD)</t>
  </si>
  <si>
    <t>Central bank press release. https://bit.ly/34WFzLH (accessed 18 April 2020).</t>
  </si>
  <si>
    <t>No amount/estimate: Effective 20 March 2020, the discount rate, the rate on accommodations with collateral, and the rate on accommodations without collateral will be reduced by 0.25 percentage points to 1.125%, 1.50%, and 3.375%, respectively.</t>
  </si>
  <si>
    <t>EY. https://www.ey.com/en_gl/tax/how-covid-19-is-causing-governments-to-adopt-economic-stimulus-- (accessed 27 March 27 2020).</t>
  </si>
  <si>
    <t>Another USD1.33 billion is available to stimulate Taipei,China's economy on top of the previous USD2 billion package</t>
  </si>
  <si>
    <t>Reuters. https://reut.rs/34RuU4H (accessed 17 April 2020).</t>
  </si>
  <si>
    <t>TWD per person</t>
  </si>
  <si>
    <t>Amount (THB)</t>
  </si>
  <si>
    <t xml:space="preserve">No amount/estimate: (i) The Bank of Thailand (BOT) has provided some liquidity in the foreign exchange market thereby avoiding disorderly market conditions while also allowing the exchange rate to adjust as a shock absorber; (ii) Relaxation of repayment conditions for businesses (accompanied by temporary relaxation in financial sector liquidity-related regulations).
</t>
  </si>
  <si>
    <t>Soft loans by the BOT to financial institutions amounting to THB500 billion to be on-lent at 2% interest to small and medium-sized enterprises (SMEs) with outstanding (non-nonperforming) loans.</t>
  </si>
  <si>
    <t>No amount/estimate: The policy rate was reduced by 50 basis points from 1.25% to 0.75% during the first quarter of 2020 and the contribution from financial institutions to the Financial Institutions Development Fund (FIDF) was reduced from 0.46% to 0.23% of the deposit base to provide space for a decrease in lending rates.</t>
  </si>
  <si>
    <r>
      <t>The government covers the first 6 months of interest and guarantees up to 60%</t>
    </r>
    <r>
      <rPr>
        <sz val="12"/>
        <rFont val="Calibri"/>
        <family val="2"/>
      </rPr>
      <t>–</t>
    </r>
    <r>
      <rPr>
        <sz val="12"/>
        <rFont val="Tahoma"/>
        <family val="2"/>
      </rPr>
      <t>70% of the THB500 billion loan (See Measure 2: Actions that increase liabilities to the central bank or government).</t>
    </r>
  </si>
  <si>
    <r>
      <t>The Corporate Bond Stabilization Fund (BSF) was established to provide bridge financing of up to THB400 billion to high-quality firms with bonds maturing during 2020</t>
    </r>
    <r>
      <rPr>
        <sz val="12"/>
        <rFont val="Calibri"/>
        <family val="2"/>
      </rPr>
      <t>–</t>
    </r>
    <r>
      <rPr>
        <sz val="12"/>
        <rFont val="Tahoma"/>
        <family val="2"/>
      </rPr>
      <t>2021, at higher-than-market ‘penalty’ rates (includes both public and private participants).</t>
    </r>
  </si>
  <si>
    <t>No amount/estimate: Loan payment holiday of 6 months for SMEs and suspension of principal.</t>
  </si>
  <si>
    <t xml:space="preserve">In response to COVID-19, the Cabinet has approved a fiscal package with phases I, II, and III amounting to at least 8.9% of GDP or THB1.5 trillion including (i) health-related spending; (ii) assistance for workers (includes 3 million workers outside the social security system), farmers, and entrepreneurs affected by COVID-19; (iii) support for individuals and businesses through soft loans from Specialized Financial Institution (SFI) and Social Security Office (See THB500 billion in Measure 2: Encouraging private credit creation), and tax relief; and (iv) lower water and electricity bills, and lower employees’ and employers’ social security contribution. </t>
  </si>
  <si>
    <t>See Measure 5: Direct support to income/revenue.</t>
  </si>
  <si>
    <r>
      <t xml:space="preserve">See Measure 5: Direct support to income/revenue.
</t>
    </r>
    <r>
      <rPr>
        <sz val="12"/>
        <rFont val="Tahoma"/>
        <family val="2"/>
      </rPr>
      <t>(i) The government covers the first 6 months of interest and guarantees up to 60%</t>
    </r>
    <r>
      <rPr>
        <sz val="12"/>
        <rFont val="Calibri"/>
        <family val="2"/>
      </rPr>
      <t>–</t>
    </r>
    <r>
      <rPr>
        <sz val="12"/>
        <rFont val="Tahoma"/>
        <family val="2"/>
      </rPr>
      <t>70% of the THB500 billion loan. This is part of the THB350 billion that the government will cover (See Measure 2: Loan guarantees); (ii) Reduction of interest on the debts to SFIs.</t>
    </r>
  </si>
  <si>
    <t>No amount/estimate: The BOT purchased government bonds in excess of THB100 billion to ensure the normal functioning of the government bond market.</t>
  </si>
  <si>
    <r>
      <t>No amount/estimate: March 31, An additional currency swap (THB</t>
    </r>
    <r>
      <rPr>
        <sz val="12"/>
        <rFont val="Calibri"/>
        <family val="2"/>
      </rPr>
      <t>–</t>
    </r>
    <r>
      <rPr>
        <sz val="12"/>
        <rFont val="Tahoma"/>
        <family val="2"/>
      </rPr>
      <t>JPY) between the BOT and Bank of Japan was signed.</t>
    </r>
  </si>
  <si>
    <t>THB per person</t>
  </si>
  <si>
    <t>1. As of 23 March, countries considered as risk zones and travellers from those countries need to undertake quarantine for 14 days. Travellers from these countries must submit health certificates that show no COVID-19 infection in advance of their trips. Thailand also halted issuance of visa on arrival for some other countries.</t>
  </si>
  <si>
    <t>2. All schools have been closed since 18 March until further notice.</t>
  </si>
  <si>
    <t>3. In Bangkok and its vicinity, leisure and sport facilities, such as boxing arenas, pubs, among others, have suspend their businesses for 14 days until the end of March. In addition, the Bangkok Metropolitan Government announced on 21 March that most of nonessential commercial services, including shopping malls, restaurants and sport facilities, among others, should be closed from 22 March to 12 April.</t>
  </si>
  <si>
    <t>Source: OECD. http://www.oecd.org/coronavirus/en/ (accessed 12 April 2020).</t>
  </si>
  <si>
    <t>April 7, The President authorized the transfer of USD250 million from the Petroleum Fund under the duodecimal regime. USD150 million was used to create an autonomous fund, the COVID-19 special funds, to spend on expenses related to prevent and combat the pandemic, including spending on medical equipment and medicine.</t>
  </si>
  <si>
    <t>This amount is part of the USD250 million transferred from the Petroleum Fund (See Health of Measure 5).</t>
  </si>
  <si>
    <t>1. Suspending collective passenger transport and obligating all individuals to wear a protective mask covering mouth and nose, wash their hands before entering commercial or service establishments, and maintain a safe distance of at least one meter from other people.</t>
  </si>
  <si>
    <t>2. Closing all schools and training facilities and suspending all face-to-face school activities.</t>
  </si>
  <si>
    <t>3. Restricting international travel, including the prohibition of entry of foreigners into national territory, except for foreigners born in Timor-Leste, resident citizens, and legal representatives of minors of Timorese nationality.</t>
  </si>
  <si>
    <t>4. Imposing compulsory isolation in a health facility or their homes applies to all those infected with COVID-19 until they are discharged, and all individuals who enter the national territory and all those under the supervision of the authorities will remain in isolation for a period of 14 days and voluntary isolation at home to those who are not in compulsory isolation as well as prohibiting meetings or demonstrations involving the agglomeration of more than five people and any social, cultural, and sporting events.</t>
  </si>
  <si>
    <t>5. Limiting public administration to essential public services.</t>
  </si>
  <si>
    <t>6. Extending validity of licenses, authorizations, visas and residence permits, and other administrative acts and documents.</t>
  </si>
  <si>
    <t>Amount (TMT)</t>
  </si>
  <si>
    <t>No amount/estimate: Exchange restrictions on current international payments and transactions for private businesses reportedly have been tightened.</t>
  </si>
  <si>
    <t>No amount/estimate: State budget spending is being revised, including to increase health spending for preventing an outbreak of COVID-19 and to provide support to businesses affected by the containment measures.</t>
  </si>
  <si>
    <t>TMT per person</t>
  </si>
  <si>
    <t>A special regime has been established for the implementation of essential and high-priority imports and projects, which covers foreign currency rationing and transportation arrangements.</t>
  </si>
  <si>
    <t xml:space="preserve">1. The authorities have adopted a wide range of measures to prevent a COVID-19 outbreak in the country, including closure of borders, flight cancellations and rerouting, and mandatory COVID-19 testing for arriving travelers. </t>
  </si>
  <si>
    <t xml:space="preserve">2. Starting March 24, all sports events have been cancelled. Gyms and sports clubs have been shut down in Ashgabat. </t>
  </si>
  <si>
    <t xml:space="preserve">3. The authorities have imposed restrictions on internal movement, closed roads between some provinces, and stopped rail transportation. </t>
  </si>
  <si>
    <t>Amount (TOP)</t>
  </si>
  <si>
    <t xml:space="preserve">No amount/estimate: Monetary policy, which has been accommodative given low inflation and slow economic recovery, remained on hold. </t>
  </si>
  <si>
    <t xml:space="preserve">No amount/estimate: The Government of Tonga announced a 3-month moratorium on Government Development Loans and TC Gita Recovery Loan Fund. No amount/estimate: Commercial banks are assisting their customers affected by the COVID-19 virus on a case by case basis and depending on individual customers’ circumstances by (i) reducing or suspending the principal loan repayments to interest only loan repayments; (ii) restructuring loans to businesses that have reduced business hours, in affected sectors such as tourism and related industries like transportation and to individuals who have been laid off; (iii) extending the terms of loans to reduce repayments; (iv) reducing loan interest rates on a case by case basis; and (v) providing access to short-term funding, if required.
</t>
  </si>
  <si>
    <t xml:space="preserve">April 2, Based on an initial assessment of the overall impact of COVID-19 on the economy, the Government of Tonga announced an Economic and Social Stimulus Package of TOP60 million  (5.3% of GDP) for FY 2020. This package is intended to provide short-term assistance to all affected sectors in response to the COVID-19 pandemic. Over a third of the funds will be directed to the health sector, while the rest will support the other sectors, including tourism, transport, agriculture, education and security. </t>
  </si>
  <si>
    <t>(i) This covers two-thirds of the TOP60 million Stimulus Package for other sectors in Measure 5 under Health; (ii) No amount/estimate: Deferral of retirement contributions and hardship allowances for laid-off employees (up to 3 months), needs-based financial assistance, tax and duty relief during the pandemic, and assistance with the payment of utility bills by public enterprises.</t>
  </si>
  <si>
    <t>No amount/estimate: March 19, The National Reserve Bank of Tonga (NRBT) Board committed to easing exchange control requirements if needed. The exchange rate remains pegged against a basket of currencies (within a ±5% monthly adjustment limit). No new exchange restrictions have been announced. International reserves remain at 7.4 months of imports at end-February 2020.</t>
  </si>
  <si>
    <t>April 3, USD0.47 million approved allocation for COVID-19 Emergency Response. April 15, USD6 million was disbursed to help finance its response to the COVID-19 pandemic.</t>
  </si>
  <si>
    <t>TOP per person</t>
  </si>
  <si>
    <t>Commercial banks are assisting their customers affected by the COVID-19 virus on a case by case basis and depending on individual customers’ circumstances by: (i) reducing or suspending the principal loan repayments to interest only loan repayments; (ii) restructuring loans to businesses that have reduced business hours, in affected sectors such as tourism and related industries like transportation and to individuals who have been laid off; (iii) extending the terms of loans to reduce repayments; (iv) reducing loan interest rates on a case by case basis; and (v) providing access to short-term funding, if required.</t>
  </si>
  <si>
    <t xml:space="preserve">1. The Government of Tonga has been introducing increasingly restrictive containment measures since January 2020. </t>
  </si>
  <si>
    <t>2. In March, it toughened measures for incoming travelers, while all international cruise ships and yachts were barred indefinitely.</t>
  </si>
  <si>
    <t>3. On March 21, Tonga declared a state of National Emergency. As a preventive measure, a nation-wide lockdown came into effect on March 29, which entails the prohibition of all flights into the country and all public transportation inside the country, the closure of all nonessential businesses and public facilities, a stay-at-home order, a night-time curfew and the prohibition of public gatherings.</t>
  </si>
  <si>
    <t>Amount (TRY)</t>
  </si>
  <si>
    <t>No amount/estimate: Liquidity facilities were augmented, including with longer-term instruments and at discounted rates. The reserve requirements on foreign currency deposits were reduced by 500 basis points for banks meeting lending growth targets.</t>
  </si>
  <si>
    <t xml:space="preserve">No amount/estimate: The Central Bank of the Republic of Turkey (CBRT) lowered the policy rate by 100 basis points to 9.75%. </t>
  </si>
  <si>
    <t xml:space="preserve">TRY25 billion (USD3.8 billion or 0.5% of GDP) for doubling the credit guarantee fund. </t>
  </si>
  <si>
    <t>No amount/estimate: (i) Local firms affected by the crisis were granted a 3-month moratorium on bank loan repayments (principal and interest); (ii) Exporters’ inventory financing is being supported by extending maturities for existing and new export rediscount credits; (iii) Debt enforcement and bankruptcy proceedings (except in alimony cases) have been suspended.</t>
  </si>
  <si>
    <t>TRY75 billion (USD11.6 billion or 1.5% of GDP) in fiscal measures. Key support measures include (a) raising minimum pension and cash assistance to families in need, (b) reduced/postponed taxes for affected industries (particularly tourism), (c) direct support to Turkish Airlines and other affected entities, (d) extension of personal and corporate income tax filing deadlines; and (e) increased work flexibility.</t>
  </si>
  <si>
    <t>TRY per person</t>
  </si>
  <si>
    <t>1. All travellers entering Turkey from virus-affected countries are taken under quarantine for 14 days, irrespective of nationality. Returning pilgrims will be kept under quarantine for one additional week. As of 4 April, 15,756 persons were under quarantine in 78 converted student dormitories. From March 22, a curfew was applied to all citizens above 65 and for people with chronic illnesses. From April 4, this is extended to youth below 20 (with an exception for young workers between 18 and 20). From March 31, 41 towns, villages, and neighborhoods in 18 provinces have been taken under quarantine. From April 4, 30 metropolitan areas, including Istanbul, Ankara and Izmir, and the town of Zonguldak are also under quarantine. All exits from and entries to these zones are  banned (under administrative authorization for special cases).</t>
  </si>
  <si>
    <t>2. Air traffic is stopped with all countries. Land borders  with Iran, Azerbaijan and Georgia are closed. Public employees’ travels to foreign countries are subject to prior approval by their superiors. Turkish citizens are advised to postpone their travel plans abroad. Public transportation vehicles are required to accept 50% of their capacity to allow social distancing. On 28 March, additional measures were announced: intercity travel was prohibited, subject only to individual permissions by state governors; Turkish Airlines suspended its domestic flights, maintaining only some traffic between Istanbul, Ankara and a few other  cities. Starting from 4 April all domestic flights are suspended until 20 April.</t>
  </si>
  <si>
    <t>3. All educational institutions are closed. Online education started for primary and secondary classes on National TV and internet on March 23. Universities shifted to full online education via their distance education centers and Higher Education Council’s courses platform.</t>
  </si>
  <si>
    <t>4. Persons above 65  (March 23) and those below 20 (April 4) are locked down in their living places (with the exception of young workers between 18 and 20). Sport and cultural facilities, mosques (during high attendance periods), domestic and international trade fairs, cafes, museums, and libraries are closed.  From March 28, outside physical exercises and picnics are banned in town centers on the weekends. Local authorities can extend these bans to weekdays. Grocery stores and supermarkets' opening hours are restricted, with a maximum of one customer for every 10 square metres of space.</t>
  </si>
  <si>
    <t>Amount (VND)</t>
  </si>
  <si>
    <t>No amount/estimate: The State Bank of Vietnam (SBV) stated that it is ready to inject liquidity, including through refinancing windows, for Credit Institutions (CIs) to implement the government’s programs and help CIs to address nonperforming loans.</t>
  </si>
  <si>
    <r>
      <rPr>
        <sz val="12"/>
        <rFont val="Tahoma"/>
        <family val="2"/>
      </rPr>
      <t>No amount/estimate: (i) March 17, The SBV cut benchmark policy rates by 50</t>
    </r>
    <r>
      <rPr>
        <sz val="12"/>
        <rFont val="Calibri"/>
        <family val="2"/>
      </rPr>
      <t>–</t>
    </r>
    <r>
      <rPr>
        <sz val="12"/>
        <rFont val="Tahoma"/>
        <family val="2"/>
      </rPr>
      <t>100 basis points (bps), the short-term deposit rates cap by 25</t>
    </r>
    <r>
      <rPr>
        <sz val="12"/>
        <rFont val="Calibri"/>
        <family val="2"/>
      </rPr>
      <t>–</t>
    </r>
    <r>
      <rPr>
        <sz val="12"/>
        <rFont val="Tahoma"/>
        <family val="2"/>
      </rPr>
      <t>30 bps, and the short-term lending rates cap for priority sectors by 50 bps; raised its remuneration rates on required VND reserves by 20 bps, and also raised interest rates by the same amount on Vietnam Deposit Insurance, Vietnam Social Policy Bank (VSPB), Vietnam Development Bank, People Credit Funds and microfinance institutions’ deposits at the SBV; (ii) March 31, SBV has instructed CIs to actively reduce bonus and salary, cut other operating costs, timely adjust business plan (including not pay dividend in cash), and use the saved resources to reduce interests; (iv) VSPB also proposed to the authorities to reduce its interest rate charged on loans to the poor household by 15% and to other eligible policy borrowers by 10% starting from April 1 to-end-2010.</t>
    </r>
    <r>
      <rPr>
        <sz val="12"/>
        <color theme="4"/>
        <rFont val="Tahoma"/>
        <family val="2"/>
      </rPr>
      <t xml:space="preserve">
</t>
    </r>
  </si>
  <si>
    <t xml:space="preserve">(i) The authorities announced a credit package totaling VND285 trillion (about 3.8% of GDP) from the banking sector for affected firms and households. This is time-bound from Jan 23 to 3 months after the Prime Minister’s announcement of the ending of COVID-19 epidemic; (ii) Affected firms are eligible to access concessional loans from VSPB with no interest for making salary payment to their workers who temporarily stop working. The total loan value is estimated at VND16.2 trillion (0.2% of GDP). </t>
  </si>
  <si>
    <t>IMF. https://www.imf.org/en/Topics/imf-and-covid19/Policy-Responses-to-COVID-19 (accessed 19 April 2020).</t>
  </si>
  <si>
    <t>No amount/estimate: As of early April, banks have supported more than 410,000 customers, with outstanding loans of about VND300 trillion, by either rescheduling repayment, exempting, and reducing interest on existing debts. Banks have been exempting and reducing fees (including interbank transaction fees for small amounts, and credit information subscription fees).</t>
  </si>
  <si>
    <t>USD51 million allocated by the government for health spending from the central contingency budget.</t>
  </si>
  <si>
    <t xml:space="preserve">(i) Announced measures include (a) VND180 trillion (2.4% of GDP) of tax cut and land rental payment deferrals (for 5 months) to support affected entities; (b) affected firms and workers are allowed to defer their contribution (up to 12 months) to the pension fund and survivorship fund without interest penalty (total delayed contribution is estimated to reach VND9.5 trillion or 0.1% of GDP); (c) tax exemptions for medical equipment; (d) lower business registration fee effective from February 25 (1-year exemption of business registration tax for newly established household business; first 3-year exemption of business registration tax for SMEs); and (e) streamline tax and custom audit and inspection at firms, continued exemption of agricultural land use tax for households and farmers; and preferential tariffs on key items; (ii) In addition, the government has submitted to the National Assembly Standing Committee for adoption of a cash transfer package worth of VND36 trillion (0.5% of GDP) from the state budget (both central and local government budget) to the following affected entities for 3 months from April to June: (a) The poor and near poor households; (b) recipients of social protection program; (c) workers who temporarily stopped working or have been on unpaid leave; (d) unemployed workers without unemployment insurance, and self-employed workers; (e) households with monthly taxable revenue below VND100 million per month that temporarily suspended business; (iii) The Ministry of Industry and Trade proposed temporarily cutting electricity prices by a maximum of 10% for 3 months to support firms and households affected by COVID-19 . The support is estimated at approximately VND11 trillion or nearly 0.1% of GDP.
</t>
  </si>
  <si>
    <t>No amount/estimate: March 23, With depreciation pressures rising, the SBV announced that it would intervene in the currency market as needed to smooth excessive exchange rate volatility.</t>
  </si>
  <si>
    <t>VND per person</t>
  </si>
  <si>
    <t>1. On March 31, the State Bank of Vietnam has instructed Credit Institutions (CIs) to actively reduce bonus and salary, cut other operating costs, timely adjust business plan (including not pay dividend in cash), and use the saved resources to reduce interests.</t>
  </si>
  <si>
    <t>2. Several fees for securities services have been also reduced or made exempt between March 19 and August 31 to support the stock market.</t>
  </si>
  <si>
    <t>1. On March 9, the government tightened entry restrictions: no tourist visa is issued for Schengen countries, the United Kingdom and some US states; Only business and diplomatic entries are still allowed, but those travellers have to submit health certificate/questionnaire; All foreign and national travellers coming from infected countries have to be quarantined for 14 days.</t>
  </si>
  <si>
    <t>2. On March 17, the government announced that it stops visa issuance to foreign visitors for 30 days from March 18, except for some specific cases, such as diplomats/officials.</t>
  </si>
  <si>
    <t>3. From the week of March 23, all international flights have been suspended until the end of April, except some special occasional flights to bring back Vietnamese nationals.</t>
  </si>
  <si>
    <t>4. Schools have not been open after the lunar New Year holiday (beginning February).</t>
  </si>
  <si>
    <t>(i) March 12, The Federal Reserve (Fed) massively expanded reverse repo operations, adding liquidity to the banking system; (ii) March 16, The Federal further increased reverse repo operations; (iii) April 9, The Fed took additional actions to provide loans to support the economy; (iv) April 9, The Fed increased the flow of credit to households and businesses through capital markets, by expanding the size and scope of the Primary and Secondary Market Corporate Credit Facilities (PMCCF and SMCCF). These combined facilities will support up to USD750 billion in credit; (v) The Fed also established the Municipal Liquidity Facility that will offer up to USD500 billion in lending to states and municipalities to manage cash flow stresses caused by the coronavirus pandemic.</t>
  </si>
  <si>
    <t>Board of Governors of the Federal Reserve System. https://www.federalreserve.gov/newsevents/pressreleases/monetary20200409a.htm (accessed 16 April 2020).</t>
  </si>
  <si>
    <t>(i) March 15, The Fed restarted quantitative easing with the purchase of mortgage-backed securities; (ii) April 9, The Fed increased the flow of credit to households and businesses through the USD100 billion Term Asset-Backed Securities Loan Facility (TALF); (iii) April 9, The Fed established a Main Street Lending Program to support loans to small and medium-sized enterprises.</t>
  </si>
  <si>
    <t>IMF. https://www.imf.org/en/Topics/imf-and-covid19/Policy-Responses-to-COVID-19 (accessed 16 April 2020).  Board of Governors of the Federal Reserve System. https://www.federalreserve.gov/monetarypolicy/talf.htm (accessed 18 April 2020).</t>
  </si>
  <si>
    <r>
      <t>No amount/estimate: Federal funds rate lowered by 150 basis points (bps) to 0</t>
    </r>
    <r>
      <rPr>
        <sz val="12"/>
        <rFont val="Calibri"/>
        <family val="2"/>
      </rPr>
      <t>–</t>
    </r>
    <r>
      <rPr>
        <sz val="12"/>
        <rFont val="Tahoma"/>
        <family val="2"/>
      </rPr>
      <t>0.25 bp;  (ii) Purchase of Treasury and agency securities in the amount as needed; (iii) Expanded overnight and term repos; (iv) Lowered cost of discount window lending; (v) Reduced existing cost of swap lines with major central banks and extended the maturity of foreign exchange operations; (vi) Broadened United States dollar (USD) swap lines to more central banks.</t>
    </r>
  </si>
  <si>
    <r>
      <t>(i) USD349 billion in forgivable Small Business Administration loans and guarantees to help small businesses that retain workers; (ii) USD57 billion in other loans and guarantees; (iii) Treasury capitalization of Fed lending facilities of about USD454 billion.</t>
    </r>
    <r>
      <rPr>
        <sz val="12"/>
        <color rgb="FFFF0000"/>
        <rFont val="Tahoma"/>
        <family val="2"/>
      </rPr>
      <t xml:space="preserve">
</t>
    </r>
  </si>
  <si>
    <t>Bloomberg. https://www.bloomberg.com/news/articles/2020-03-25/what-s-in-congress-2-trillion-coronavirus-stimulus-package (accessed 16 April 2020).</t>
  </si>
  <si>
    <t>(i) The Coronavirus Preparedness and Response Supplemental Appropriations Act supports the following: (a) USD61 million salaries and expenses to prevent, prepare, and respond to coronavirus domestically and internationally; (b) USD20 million for expenses to carry out the disaster loan program; (c) USD2.2 billion support to the Center for Disease Control and Prevention; (d) USD836 million for the National Institute of Allergy and Infectious Diseases; (e) USD3.4 billion for Public Health and Social Services Emergency Fund; (f) USD264 million fund for the diplomatic program to respond to the coronavirus; (g) USD1 million for the OIG as oversight of said program; (h) USD435 million for global health; (i) USD300 million for international disaster assistance; and (j) USD250 million support for the prevention of the virus; (ii) The Families First Coronavirus Response Act includes (a) USD500 million to supplement nutrition for women and children; (b) USD400 million for emergency food assistance program; (c) USD82 million for defense health program; (d) USD15 million for tax payer services in carrying out Family First Response Act; (e) USD64 million for Indian health services; (f) USD250 million for aging and disability services; (g) USD1 billion for public health; (h) USD30 million for medical services; and (i) USD30 million for medical community care; (iii) The Coronavirus Aid, Relief, and Economic Security Act supports (a) USD126 billion for hospital restitution and health care; and (b) USD27 billion for vaccines.</t>
  </si>
  <si>
    <t>Bloomberg. https://www.bloomberg.com/news/articles/2020-03-25/what-s-in-congress-2-trillion-coronavirus-stimulus-package; Congress.Gov. https://www.congress.gov/116/plaws/publ123/PLAW-116publ123.pdf; Congress.Gov. https://www.congress.gov/bill/116th-congress/house-bill/6201/text (all accessed 16 April 2020).</t>
  </si>
  <si>
    <t xml:space="preserve">Includes USD290 billion direct payment to families; USD290 billion for tax cuts; USD260 billion for unemployment insurance; USD150 billion for state and local funds; USD101 billion for education, infrastructure, and FEMA; USD32 billion grants for airlines; USD17 billion for national security.
</t>
  </si>
  <si>
    <t>Bloomberg. https://www.bloomberg.com/news/articles/2020-03-25/what-s-in-congress-2-trillion-coronavirus-stimulus-package; Congress.Gov. https://www.congress.gov/116/plaws/publ123/PLAW-116publ123.pdf.</t>
  </si>
  <si>
    <t>-</t>
  </si>
  <si>
    <t>March 15, The Federal Reserve restarted quantitative easing with the purchase of Treasuries.</t>
  </si>
  <si>
    <t>(i) March 19, The New York Fed entered into temporary US dollar liquidity arrangements (swap lines) with banks . These new facilities will support the provision of US dollar liquidity in amounts up to USD60 billion each for the Reserve Bank of Australia, the Banco Central do Brasil, the Bank of Korea, the Banco de Mexico, the Monetary Authority of Singapore, and the Sveriges Riksbank and USD30 billion each for the Danmarks Nationalbank, the Norges Bank, and the Reserve Bank of New Zealand. These US dollar liquidity arrangements will be in place for at least 6 months; (ii) April 16, Total currency swaps provided to other central banks was USD400.921 billion.</t>
  </si>
  <si>
    <t>IMF. https://www.imf.org/en/Topics/imf-and-covid19/Policy-Responses-to-COVID-19; Federal Bank of New York. https://apps.newyorkfed.org/markets/autorates/fxswap (both accessed 16 April 2020).</t>
  </si>
  <si>
    <t>Measure 8 is added to the sum of Measures 1 to 5.</t>
  </si>
  <si>
    <t>1. US President Donald J. Trump has already declared himself a “war-time” president and invoked war production powers to combat the COVID-19 crisis.</t>
  </si>
  <si>
    <t>2. Temporary exclusion of certain products from the additional duty of 25% on a list of products (imposed on September 1, 2019). Published on March 20, but effective retroactively from September 1 2019.</t>
  </si>
  <si>
    <t>3. Presidential Memoranda allocating to domestic use certain personal protective equipment (e.g., N-95 filtering facepiece respirators; other filtering facepiece respirators; elastomeric, air-purifying respirators and appropriate particulate filters/cartridges; PPE surgical masks; and PPE gloves or surgical glove), due to the COVID-19 pandemic.</t>
  </si>
  <si>
    <t>Sources: WTO. https://www.wto.org/english/tratop_e/covid19_e/covid19_e.htm#faq (accessed 11 April 2020); The White House. https://www.whitehouse.gov/presidential-actions/executive-order-prioritizing-allocating-health-medical-resources-respond-spread-covid-19/ (accessed 18 April 2020).</t>
  </si>
  <si>
    <t>1. Forty-eight states have issued stay at home orders.</t>
  </si>
  <si>
    <t xml:space="preserve">2. Current State Department guidance – Level 4 health advisory alert – advises Americans not to travel.  </t>
  </si>
  <si>
    <t>3. All states have closed schools.</t>
  </si>
  <si>
    <t>4. Limits on operation of bars and restaurants in place in most states.</t>
  </si>
  <si>
    <t>(i) Reduction of the 1-year medium-term lending facility rate by 0.2 percentage points to 2.95% estimated to inject CNY100 billion into the country’s financial system; no amount/estimate: (ii) reduction of the interest on excess reserves from 72 to 35 bps; (iii) flexibility in the implementation of the asset management reform.</t>
  </si>
  <si>
    <t>IMF. https://www.imf.org/en/Topics/imf-and-covid19/Policy-Responses-to-COVID-19 (accessed 15  April 2020); FT. https://www.ft.com/content/b5b1f2b4-ffd6-4408-8c77-3c6c08d704b6 (accessed 20 April 2020).</t>
  </si>
  <si>
    <t>A supplementary budget (FJD1 billion) was announced on March 26, 2020 in response to the COVID-19 pandemic. Supplemental expenditures on public health, lump sum payments through the Fiji National Provident Fund (FNPF), tax and tariff reductions, and loan repayment holidays aimed at protecting public health, supporting the economy, and ensuring food security. An Agricultural Response Package to ensure food security has also been announced. It includes the scaling up of the existing Home Gardening program and a new Farm Support Package which aims at boosting the production of short-term crops through seeds and materials distribution.</t>
  </si>
  <si>
    <t xml:space="preserve">No amount/estimate: The NBG kept its policy rate steady in its March Monetary Policy Committee (MPC) meeting.
</t>
  </si>
  <si>
    <t>Several measures have been taken: (i) March 3, Bank Negara Malaysia (BNM) lowered the Overnight Policy Rate (OPR) by 25 basis points to 2.5%, citing market disruptions, greater risk aversion and financial market volatility, and tighter financial conditions due to COVID-19; (ii) BNM lowered the Statutory Reserve Requirement (SRR) ratio by 100 basis points to 2% effective March 20, 2020 and allowed each Principal Dealer to recognize Malaysian government securities (MGS) and Malaysian Government Investment Issue (MGII) of up to MYR1 billion as part of the SRR compliance until March 2021. BNM expects these combined measures to release approximately MYR30 billion worth of liquidity into the banking system. On March 27, BNM enhanced its Financing Facilities to MYR13.1 billion (0.9% of gross domestict product [GDP]), an increase of MYR4 billion. In addition, BNM announced relief measures for insurance policy holders and takaful participants; (iii) The Securities Commission Malaysia (SC) waived annual licensing fees for capital market licensed entities; and (iv) March 25, BNM announced measures temporarily easing regulatory and supervisory compliance on banks to enable them to support loan deferment and restructuring.</t>
  </si>
  <si>
    <t>Pacific</t>
  </si>
  <si>
    <t>ADB COVID-19 Policy Database (Version 1, April 20, 2020)</t>
  </si>
  <si>
    <t>ADB COVID-19 Policy Database Background Document Version 1, April 20, 2020</t>
  </si>
  <si>
    <t>Cumulative COVID-19 cases per 100,000 people</t>
  </si>
  <si>
    <t>Cumulative COVID-19 deaths per 100,000 people</t>
  </si>
  <si>
    <r>
      <t>Citation: Felipe, Jesus, et al. 2020.</t>
    </r>
    <r>
      <rPr>
        <i/>
        <sz val="15"/>
        <color rgb="FF201F1E"/>
        <rFont val="Tahoma"/>
        <family val="2"/>
      </rPr>
      <t xml:space="preserve"> ADB COVID-19 Policy Database</t>
    </r>
    <r>
      <rPr>
        <sz val="15"/>
        <color rgb="FF201F1E"/>
        <rFont val="Tahoma"/>
        <family val="2"/>
      </rPr>
      <t xml:space="preserve"> (Version 1, April 20, 2020). Manila: Asian Development Bank.</t>
    </r>
  </si>
  <si>
    <t>February 25, Taipei,China's authorities passed the statute for prevention and rehabilitation of severe infectious pneumonia (the Statute). The Statute, which was enacted accordingly, is in response to the recent COVID-19 outbreak and aims to alleviate its impact on the domestic economy and society. The budget connected with the statute is TWD60 billion (approximately USD2 billion).</t>
  </si>
  <si>
    <r>
      <t xml:space="preserve">For inquiries, please email Jesus Felipe </t>
    </r>
    <r>
      <rPr>
        <u/>
        <sz val="15"/>
        <color theme="8" tint="-0.249977111117893"/>
        <rFont val="Tahoma"/>
        <family val="2"/>
      </rPr>
      <t>(jfelipe@adb.org).</t>
    </r>
  </si>
  <si>
    <t>ADB recognizes “China” as the People’s Republic of China; “Hong Kong” as Hong Kong, China; “Korea” as the Republic of Korea; “Lao P.D.R” as the Lao People’s Democratic Republic; and “Vietnam” as Viet Nam.</t>
  </si>
  <si>
    <t>1. The government had started imposing containment measures since early February.</t>
  </si>
  <si>
    <t>Sources: Data on GDP are from the IMF, World Economic Outlook Database, October 2019, while data on population are from the World Bank. https://data.worldbank.org/
. The exchange rate is from the IMF. http://data.imf.org (all accessed 12 April 2020).</t>
  </si>
  <si>
    <t>Sources: Data on GDP are from the IMF, World Economic Outlook Database, October 2019, while data on population are from the World Bank. https://data.worldbank.org. The exchange rate is from CEIC (all accessed 12 April 2020).</t>
  </si>
  <si>
    <r>
      <t xml:space="preserve">Sources: Data on GDP and population are from the </t>
    </r>
    <r>
      <rPr>
        <i/>
        <sz val="12"/>
        <color rgb="FF000000"/>
        <rFont val="Tahoma"/>
        <family val="2"/>
      </rPr>
      <t>Asian Development Outlook</t>
    </r>
    <r>
      <rPr>
        <sz val="12"/>
        <color rgb="FF000000"/>
        <rFont val="Tahoma"/>
        <family val="2"/>
      </rPr>
      <t xml:space="preserve"> database. The exchange rate is from CEIC (all accessed 12 April 2020).</t>
    </r>
  </si>
  <si>
    <r>
      <t>Sources: Data on GDP are from the IMF, World Economic Outlook Database, October 2019, while data on population are from the World Bank.</t>
    </r>
    <r>
      <rPr>
        <sz val="11"/>
        <color theme="1"/>
        <rFont val="Calibri"/>
        <family val="2"/>
        <scheme val="minor"/>
      </rPr>
      <t xml:space="preserve"> </t>
    </r>
    <r>
      <rPr>
        <sz val="12"/>
        <color rgb="FF000000"/>
        <rFont val="Tahoma"/>
        <family val="2"/>
      </rPr>
      <t>https://data.worldbank.org. The exchange rate is from CEIC (all accessed 12 April 2020).</t>
    </r>
  </si>
  <si>
    <t>Sources: Data on GDP are from the IMF, World Economic Outlook Database, October 2019, while data on population are from the World Bank. https://data.worldbank.org
. The exchange rate is from the IMF. http://data.imf.org (all accessed 12 April 2020).</t>
  </si>
  <si>
    <t>Sources: Data on GDP are from the IMF, World Economic Outlook Database, October 2019, while data on population are from the World Bank. https://data.worldbank.org. The exchange rate is from the IMF. http://data.imf.org (all accessed 12 April 2020).</t>
  </si>
  <si>
    <t>Sources: Data on GDP are from the IMF, World Economic Outlook Database, October 2019, while data on population are from the World Bank. https://data.worldbank.org.  The exchange rate is from the IMF. http://data.imf.org (all accessed 12 April 2020).</t>
  </si>
  <si>
    <t>ADB. 2020. Proposed Countercyclical Support Facility Loans: Republic of Indonesia: COVID-19 Active Response and Expenditure Support Program. April. Indonesia.</t>
  </si>
  <si>
    <t>Note: COVID-19 cases/deaths per 100,000 people are calculated as the ratio of the cumulative number of cases/deaths provided by the European Centre for Disease Prevention and Control. https://www.ecdc.europa.eu/en/publications-data/download-todays-data-geographic-distribution-covid-19-cases-worldwide (accessed on 20 April 2020) to total population from the World Bank. https://data.worldbank.org (accessed 12 April 2020), multiplied by 100,000.</t>
  </si>
  <si>
    <t>Note: COVID-19 cases per deaths per 100,000 people are calculated as the ratio of the cumulative number of cases per deaths provided by the European Centre for Disease Prevention and Control. https://www.ecdc.europa.eu/en/publications-data/download-todays-data-geographic-distribution-covid-19-cases-worldwide (accessed 20 April 2020) to total population from the World Bank. https://data.worldbank.org (accessed 12 April 2020), multiplied by 100,000.</t>
  </si>
  <si>
    <t>Note: COVID-19 cases/deaths per 100,000 people are calculated as the ratio of the cumulative number of cases/deaths provided by Aljazeera. https://www.aljazeera.com/news/2020/04/countries-reported-coronavirus-cases-200412093314762.html (accessed 12 April 2020) to total population from the World Bank. https://data.worldbank.org (accessed 20 April 2020), multiplied by 100,000.</t>
  </si>
  <si>
    <t>Note: COVID-19 cases/deaths per 100,000 people are calculated as the ratio of the cumulative number of cases/deaths provided by Aljazeera. https://www.aljazeera.com/news/2020/04/countries-reported-coronavirus-cases-200412093314762.html (accessed 20 April 2020). to total population from the World Bank. https://data.worldbank.org (accessed 12 April 2020), multiplied by 100,000.</t>
  </si>
  <si>
    <t>Note: COVID-19 cases/deaths per 100,000 people are calculated as the ratio of the cumulative number of cases/deaths provided by the Centers for Disease and Control Prevention. https://www.cdc.gov/mmwr/volumes/69/wr/mm6915e4.htm?s_cid=mm6915e4_x (accessed 20 April 2020) to total population from the World Bank. https://data.worldbank.org (accessed 12 April 2020), multiplied by 100,000.</t>
  </si>
  <si>
    <t>Note: COVID-19 cases/deaths per 100,000 people are calculated as the ratio of the cumulative number of cases/deaths provided by Aljazeera. https://www.aljazeera.com/news/2020/04/countries-reported-coronavirus-cases-200412093314762.html (accessed 20 April 2020) to total population from the World Bank. https://data.worldbank.org (accessed 12 April 2020), multiplied by 100,000.</t>
  </si>
  <si>
    <t>Note: COVID-19 cases per deaths per 100,000 people are calculated as the ratio of the cumulative number of cases perdeaths provided by the European Centre for Disease Prevention and Control. https://www.ecdc.europa.eu/en/publications-data/download-todays-data-geographic-distribution-covid-19-cases-worldwide (accessed 20 April 2020) to total population from the World Bank. https://data.worldbank.org (accessed 12 April 2020), multiplied by 100,000.</t>
  </si>
  <si>
    <t>Note: COVID-19 cases/deaths per 100,000 people are calculated as the ratio of the number of cases/deaths provided by the European Centre for Disease Prevention and Control. https://www.ecdc.europa.eu/en/publications-data/download-todays-data-geographic-distribution-covid-19-cases-worldwide (accessed on 20 April 2020) to total population from the National Statistics. https://bit.ly/2yvE76w (accessed 15 April 2020), multiplied by 100,000.</t>
  </si>
  <si>
    <t>Note: COVID-19 cases/deaths per 100,000 people are calculated as the ratio of the cumulative number of cases/deaths provided by the European Centre for Disease Prevention and Control. https://www.ecdc.europa.eu/en/publications-data/download-todays-data-geographic-distribution-covid-19-cases-worldwide (accessed on 20 April 2020) to total population from the World Bank. https://data.worldbank.org (accessed 20 April 2020), multiplied by 100,000.</t>
  </si>
  <si>
    <t>Note: COVID-19 cases/deaths per 100,000 people are calculated as the ratio of the cumulative number of cases/deaths provided by RNZ. https://www.rnz.co.nz/international/pacific-news/414545/the-cook-islands-declared-covid-19-free (accessed 20 April 2020) to total population from the Asian Development Bank, multiplied by 100,000.</t>
  </si>
  <si>
    <t>Note: COVID-19 cases/deaths per 100,000 people are calculated as the ratio of the cumulative number of cases/deaths provided by the authorities of Hong Kong, China. https://bit.ly/3bsvwQW (accessed 20 April 2020) to total population from the World Bank. https://data.worldbank.org (accessed 12 April 2020), multiplied by 100,000.</t>
  </si>
  <si>
    <t>Note: COVID-19 cases/deaths per 100,000 people are calculated as the ratio of the cumulative number of cases/deaths provided by the Aljazeera. https://www.aljazeera.com/news/2020/04/countries-reported-coronavirus-cases-200412093314762.html (accessed 20 April 2020) to total population from the World Bank. https://data.worldbank.org (accessed 20 April 2020), multiplied by 100,000.</t>
  </si>
  <si>
    <t>Sources: Data on GDP are from the IMF, World Economic Outlook Database, October 2019 (accessed 12 April 2020)  and population are from the from the National Statistics. https://bit.ly/2yvE76w (accessed 15 April 2020). The exchange rate is from CEIC (accessed 12 April 2020).</t>
  </si>
  <si>
    <t xml:space="preserve">March 23: (i) EUR100 billion within the Economic Stabilisation Fund (WSF) for the refinancing of large KfW loans; and (ii) EUR357 billion increase of the Kreditanstalt für Wiederaufbau (KfW) guarantee framework (roughly EUR465 billion) by approximately EUR357 billion, to around EUR822 billion available through guarantee loans and to set up new ones and to expand liquidity assistance programs.
</t>
  </si>
  <si>
    <t>International Monetary Fund (IMF). https://www.imf.org/en/Topics/imf-and-covid19/Policy-Responses-to-COVID-19 (accessed 11 April 2020);
Bank Indonesia. https://www.bi.go.id/en/ruang-media/siaran-pers/Pages/sp_223020.aspx (accessed 15 April 2020).</t>
  </si>
  <si>
    <t>On March 11, the Bank of Mongolia (BOM) reduced the Mongolian Tugrik (MNT) reserve requirement of banks by 200 basis points to 8.5%. The lower reserve requirement released MNT324 billion (0.8% of GDP) of additional liquidity in the banking system.</t>
  </si>
  <si>
    <t>On March 27, the government announced a MNT5.1 trillion (13% of GDP) stimulus package: to ramp up health spending, to protect vulnerable households and businesses, and to support the economy. MNT17 billion (0.04% of GDP) of additional health spending has been approved and allocated to epidemic prevention and control, acquisition of medical supply and medical staff overtime salaries. This measure is financed by a Government Reserve Fund withdrawal. No amount/estimate: A comprehensive set of fiscal measures has been announced, pending parliamentary approval in early April. These include: (i) tax exemptions on several imported food and medical items; (ii) increase of child allowance and unemployment benefits; and (iii) exemptions on corporate income tax, personal income tax, and social security contributions until the end of September. In addition, the government is seeking financing to implement 14 new projects in food production, processing industries, and physical infrastructure.</t>
  </si>
  <si>
    <t>(i) The National Bank of the Kyrgyz Republic (NBKR, the central bank) has already sold USD217 million of foreign exchange reserves so far (51%  more than total FX interventions for the whole year of 2019) and the Kyrgyzstani Som (KGS) has depreciated by 22% vis-a-vis the USD since the beginning of the year after a long period of stability since mid-2016; and (ii) No amount/estimate: The NBKR will postpone enactment of several financial regulations until further notice (a) liquidity ratio is lowered to a minimum of 30% (from the current 45%) (b) liquidity ratio requirements (7-day and overnight/instant) will be removed, and (c) minimum threshold level for mandatory reserve requirements is reduced from 80 to 70%.</t>
  </si>
  <si>
    <t>No amount/estimate: (i) The NBKR raised the policy interest rate by 75 basis points to 5% in February, amid global uncertainty and the increase in inflation; and (ii) The NBKR will postpone enactment of several financial regulations until further notice (a) risk-weights of FX corporate and retail loans will be reduced from 150% to 100%, (b) banks and Nonbank Financial Institutions (NBFIs) should create a loan loss reserve equal to 100% for the amount of overdue accrued interest payments on loans that have been given the status of non-accrual of interest income when overdue arrears are 270 days or more (from the now 90 days), and (c) in the event of arrears arising from COVID-19, banks or NBFIs have the right not to worsen the classification category due to financial condition of the borrower.</t>
  </si>
  <si>
    <t xml:space="preserve">(i) PHP2.9 billion purchase of medical equipment and supplies; (ii) PHP1.8 billion for 1 million personal protective equipment (PPE) sets procured by the Department of Health; (iii) PHP22.1856 billion PhilHealth medical expenses coverage for COVID-19 patients and assistance to health workers, which includes PhilHealth medical coverage, compensation for severe infection, and death benefit; (iv) PHP420.6 million for COVID-19 medical coverage;  (iv) Allocation of PHP53.2 million by the Department of Science and Technology for production of test kits developed by the University of the Philippines - National Institute of Health; (vi) PHP2.7015 expedited clearance and tax and duty-exempt importations of PPE and medical goods;  (vii) PHP 511.8 million compensation for private facilities used for the purpose of fighting COVID-19. </t>
  </si>
  <si>
    <t>(i) PHP205 billion emergency subsidy program for 18 million low-income families in the informal sector; (ii) PHP51 billion wage subsidy for employees of small businesses that closed during the enhanced community quarantine; (iii) PHP30 billion additional assistance to local governments to support vulnerable sectors; (iv) PHP16.5 billion for rice programs of the Department of Agriculture (DA) and Department of Trade and Industry (DTI) to  boost the buffer stock; (v) PHP1.5 billion  Department of Labor and Employment (DOLE) assistance for Overseas Filipino Workers; (vi) PHP2 billion DOLE cash assistance program for displaced workers; (vii) PHP1.2 billion Social Security System assistance to cover unemployment benefits; (viii) PHP3 billion for Technical Education and Skills Development Authority online programs to upskill workers; (ix)  PHP470 million deferment of filing and payment of taxes; (x) PHP139.596 billion net operating loss carryover (NOLCO) of five years to help business cope with losses.</t>
  </si>
  <si>
    <t>March 23, To further support the Filipino people during the COVID-19 pandemic, the Monetary Board authorized the Bangko Sentral ng Pilipinas (BSP) to purchase government securities from the Bureau of Treasury under a repurchase agreement in the amount of PHP300 billion with a maximum repayment period of 6 months.</t>
  </si>
  <si>
    <t>Stimulus package for widening social safety net coverage, salary support to workers at export-oriented industries, low-interest loans to affected industries and farmers, and increasing monetary supply.</t>
  </si>
  <si>
    <t>Asian Development Bank. https://www.adb.org/news/adb-president-bangladesh-finance-minister-discuss-support-covid-19-response (accessed 21 April 2020).</t>
  </si>
  <si>
    <t>Note: COVID-19 cases/deaths per 100,000 people are calculated as the ratio of the cumulative number of cases/deaths provided by the European Centre for Disease Prevention and Control. https://www.ecdc.europa.eu/en/publications-data/download-todays-data-geographic-distribution-covid-19-cases-worldwide (accessed 20 April 2020) to total population from the World Bank. https://data.worldbank.org (accessed 12 April 2020), multiplied by 100,000.</t>
  </si>
  <si>
    <t>European Institutions</t>
  </si>
  <si>
    <t>Nondeveloping Member Countries</t>
  </si>
  <si>
    <t>This is a project of the Economic Research and Regional Cooperation Department (ERCD) of the Asian Development Bank (ADB).
This policy database provides information on the key economic measures that governments are taking to combat the COVID-19 pandemic. This version includes the 68 Asian Development Bank (ADB) member economies plus the European Central Bank and the European Union.
The policy database might not fully reflect all the measures implemented by the economies considered. Errors and omissions will be corrected in successive versions. The policy database includes publicly available information and its intent is solely to inform the community. It does not make any judgement. Its content does not represent the views of the Asian Development Bank (ADB), the Asian Development Bank Institute (ADBI), the ADB Board of Governors, or those of the governments they represent, on the measures enumerated.</t>
  </si>
  <si>
    <t>(i) Under the special accommodation facility, the monetary authority of Taipei,China (the Bank) will, preliminarily, provide banks with additional funds of a total amount of TWD200 billion and at a rate of one percentage point lower than the policy rate on accommodations with collateral, in order to support credit extensions to SMEs; (ii) To ensure continued availability of liquidity banks may also use their holdings of the certificates of deposit (CDs) and negotiable certificates of deposit (NCDs) issued by the Bank to request early withdrawal or to take out secured loans; (iii) In case of emergency, the Bank's expanded repo facility, introduced in 2008 at the onset of the global financial crisis, could also be utilized to provide sufficient market access to liquidity; (iv) Under the broadened scope, securities firms and insurance companies are included as eligible counterparties in addition to banks and bills finance companies.</t>
  </si>
  <si>
    <t>No amount/estimate: Wider access to Banque de France refinancing for SMEs.</t>
  </si>
  <si>
    <t xml:space="preserve">On 13 March, the Riksbank decided to lend up to SEK500 billion (about 10% of GDP) (about EUR46 billion) to companies via the banks, to avoid robust companies being knocked out as a result of the spread of the coronavirus. Banks will be allowed to borrow an unlimited amount at 3-month's maturity on a weekly basis against collateral at an interest rate of 20 bp above the repo rate.
</t>
  </si>
  <si>
    <t xml:space="preserve">March 25, The SNB introduced the new SNB COVID-19 refinancing facility (CRF), aimed at strengthening the supply of credit to the Swiss economy by providing the banking system with additional liquidity. </t>
  </si>
  <si>
    <t>IMF. https://www.imf.org/en/Topics/imf-and-covid19/Policy-Responses-to-COVID-19#U (accessed 19 April 2020);  Swiss National Bank. https://www.snb.ch/en/mmr/reference/pre_20200325/source/pre_20200325.en.pdf (accessed 19 Apri 2020).</t>
  </si>
  <si>
    <t>March 18 to April 17, USD liquidity injected via auctions totaled USD25.6 billion. The Swiss National Bank (SNB) offered a new 84-day maturity and increased the frequency of the 7-day maturity operations from weekly to daily;</t>
  </si>
  <si>
    <t>Swiss National Bank. https://www.snb.ch/en/mmr/reference/snb_usd_repo_results_20200417/source/snb_usd_repo_results_20200417.en.pdf (accessed 19 Apri 2020).</t>
  </si>
  <si>
    <t>No amount/estimate: Bank Indonesia announced (i) increasing the frequency of foreign exchange swap auctions for 1, 3, 6, and 12 month tenors from three times per week to daily auctions; and (ii) increasing monetary easing through quantitative easing as follows: (a) Expand monetary operations by providing banks and the corporates a term-repo mechanism with government bonds (SUN) or sharia bonds (SBSN) underlying transactions of tenors up to 1 year; (b) Lower the reserve requirement ratios by 200 basis points for conventional commercial banks and by 50 basis points for Islamic banks/Islamic business units, effective from May 1, 2020; (c) Relax the additional demand deposit obligations to meet the Macroprudential Intermediation Ratio (MIR) for conventional commercial banks as well as Islamic banks/Islamic business units for a period of 1 year, effective from May  1, 2020. (Note that SBSN refers to government Islamic securities.)</t>
  </si>
  <si>
    <t xml:space="preserve"> (i) USD60 billion auctioned by the Riksbank against collateral, to monetary policy counterparties (3 auctions: 26 March, 2 April, 16 April); (i) No amount/estimate: (ii) Easing rules for the use of covered bonds as collateral; (iii) Possibility for banks to temporarily breach the liquidity coverage ratio (LCR) for individual currencies and for total currencies.</t>
  </si>
  <si>
    <t>Amendments introduced to the export policy of several products.</t>
  </si>
  <si>
    <t xml:space="preserve">1. March 21, A temporary ban for a week on international flights landing in the country for a week. </t>
  </si>
  <si>
    <t xml:space="preserve">2. March 26, Extended ban on all international flights till April 15th, excluding approved all-cargo operations and flights. </t>
  </si>
  <si>
    <t xml:space="preserve">3. March 5, Schools closed in some of the municipalities and states, including Delhi until the end of March.   </t>
  </si>
  <si>
    <t xml:space="preserve">4. March 12, Partial shutdowns was imposed on educational institutions, stadiums, cinema halls, and sports clubs and gathering of people were banned in some of the states, including Delhi.  </t>
  </si>
  <si>
    <t>Expansion of re-lending and re-discounting facilities by CNY1.8 trillion to support manufacturers of medical supplies and daily necessities, micro-, small- and medium-sized firms and the agricultural sector at low interest rates.
See Measure 9: No breakdown.</t>
  </si>
  <si>
    <t>No amount/estimate: (i) Targeted reserve requirement ratio cuts by 50-100 bps for large- and medium-sized banks that meet inclusive financing criteria which benefit smaller firms, an additional 100 bps for eligible joint-stock banks, and 100 bps for small- and medium-sized banks in April and May to support SMEs;  (ii) reduction of the 7-day and 14-day reverse repo rates by 30 and 10 basis points (bps), respectively.</t>
  </si>
  <si>
    <t xml:space="preserve">The Reserve Bank of India (RBI) has indicated that a rate action will be taken in the next Monetary Policy Committee (MPC) in early April and has introduced open market operations (over 0.1% of gross domestic product [GDP]) and variable term repos (0.5% of GDP) to ease any domestic liquidity pressures.
</t>
  </si>
  <si>
    <t>No amount/estimate: (i) Cash reserve ratio (CRR) maintenance for all additional retail loans has been exempted and the priority sector classification for bank loans to nonbanking financial companies (NBFCs) has been extended for on-lending for FY 2020/21. (ii) RBI conducted two sell–buy swap auctions to inject cumulatively United States dollar (USD) liquidity into the forex market to the tune of USD2.71 billion on March 16 and 23.</t>
  </si>
  <si>
    <t xml:space="preserve">IMF. https://www.imf.org/en/Topics/imf-and-covid19/Policy-Responses-to-COVID-19 (accessed 16 April 2020). 
</t>
  </si>
  <si>
    <t>IMF. https://www.imf.org/en/Topics/imf-and-covid19/Policy-Responses-to-COVID-19 (accessed 16 April 2020); Reserve Bank of India. https://www.rbi.org.in/scripts/BS_PressReleaseDisplay.aspx?prid=49659 (accessed 18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</si>
</sst>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_(* \(#,##0\);_(* &quot;-&quot;??_);_(@_)"/>
    <numFmt numFmtId="166" formatCode="0.00_);\(0.00\)"/>
    <numFmt numFmtId="167" formatCode="0.000"/>
    <numFmt numFmtId="168" formatCode="_(* #,##0.0_);_(* \(#,##0.0\);_(* &quot;-&quot;??_);_(@_)"/>
    <numFmt numFmtId="169" formatCode="#,##0_ ;\-#,##0\ "/>
  </numFmts>
  <fonts count="51" x14ac:knownFonts="1">
    <font>
      <sz val="11"/>
      <color theme="1"/>
      <name val="Calibri"/>
      <family val="2"/>
      <scheme val="minor"/>
    </font>
    <font>
      <u/>
      <sz val="11"/>
      <color theme="10"/>
      <name val="Calibri"/>
      <family val="2"/>
      <scheme val="minor"/>
    </font>
    <font>
      <sz val="15"/>
      <name val="Tahoma"/>
      <family val="2"/>
    </font>
    <font>
      <sz val="15"/>
      <color rgb="FF201F1E"/>
      <name val="Tahoma"/>
      <family val="2"/>
    </font>
    <font>
      <u/>
      <sz val="15"/>
      <color theme="10"/>
      <name val="Tahoma"/>
      <family val="2"/>
    </font>
    <font>
      <b/>
      <sz val="15"/>
      <name val="Tahoma"/>
      <family val="2"/>
    </font>
    <font>
      <sz val="11"/>
      <color theme="1"/>
      <name val="Calibri"/>
      <family val="2"/>
      <scheme val="minor"/>
    </font>
    <font>
      <b/>
      <sz val="12"/>
      <name val="Tahoma"/>
      <family val="2"/>
    </font>
    <font>
      <sz val="12"/>
      <name val="Tahoma"/>
      <family val="2"/>
    </font>
    <font>
      <sz val="12"/>
      <color theme="1"/>
      <name val="Tahoma"/>
      <family val="2"/>
    </font>
    <font>
      <u/>
      <sz val="12"/>
      <color rgb="FF0070C0"/>
      <name val="Tahoma"/>
      <family val="2"/>
    </font>
    <font>
      <b/>
      <sz val="12"/>
      <color theme="1"/>
      <name val="Tahoma"/>
      <family val="2"/>
    </font>
    <font>
      <u/>
      <sz val="12"/>
      <color theme="1"/>
      <name val="Tahoma"/>
      <family val="2"/>
    </font>
    <font>
      <sz val="10"/>
      <color theme="1"/>
      <name val="Arial"/>
      <family val="2"/>
    </font>
    <font>
      <sz val="12"/>
      <color rgb="FFFF0000"/>
      <name val="Tahoma"/>
      <family val="2"/>
    </font>
    <font>
      <u/>
      <sz val="12"/>
      <name val="Tahoma"/>
      <family val="2"/>
    </font>
    <font>
      <sz val="11"/>
      <color theme="1"/>
      <name val="Tahoma"/>
      <family val="2"/>
    </font>
    <font>
      <u/>
      <sz val="12"/>
      <color theme="10"/>
      <name val="Tahoma"/>
      <family val="2"/>
    </font>
    <font>
      <b/>
      <sz val="14"/>
      <name val="Tahoma"/>
      <family val="2"/>
    </font>
    <font>
      <sz val="10"/>
      <color rgb="FF0A0A0A"/>
      <name val="Tahoma"/>
      <family val="2"/>
    </font>
    <font>
      <sz val="12"/>
      <color rgb="FF0B1E2D"/>
      <name val="Tahoma"/>
      <family val="2"/>
    </font>
    <font>
      <sz val="7"/>
      <color rgb="FF0B1E2D"/>
      <name val="Tahoma"/>
      <family val="2"/>
    </font>
    <font>
      <b/>
      <sz val="12"/>
      <color rgb="FFFF0000"/>
      <name val="Tahoma"/>
      <family val="2"/>
    </font>
    <font>
      <b/>
      <sz val="7"/>
      <color rgb="FF0B1E2D"/>
      <name val="Tahoma"/>
      <family val="2"/>
    </font>
    <font>
      <b/>
      <sz val="7"/>
      <color theme="1"/>
      <name val="Tahoma"/>
      <family val="2"/>
    </font>
    <font>
      <sz val="7"/>
      <color theme="1"/>
      <name val="Tahoma"/>
      <family val="2"/>
    </font>
    <font>
      <sz val="12"/>
      <color rgb="FF000000"/>
      <name val="Tahoma"/>
      <family val="2"/>
    </font>
    <font>
      <sz val="7"/>
      <color rgb="FF2C2825"/>
      <name val="Tahoma"/>
      <family val="2"/>
    </font>
    <font>
      <sz val="11"/>
      <color rgb="FF000000"/>
      <name val="Tahoma"/>
      <family val="2"/>
    </font>
    <font>
      <sz val="12"/>
      <color theme="9" tint="-0.249977111117893"/>
      <name val="Tahoma"/>
      <family val="2"/>
    </font>
    <font>
      <sz val="12"/>
      <color theme="1"/>
      <name val="Calibri"/>
      <family val="2"/>
    </font>
    <font>
      <sz val="12"/>
      <name val="Calibri"/>
      <family val="2"/>
    </font>
    <font>
      <sz val="12"/>
      <color rgb="FF333333"/>
      <name val="Tahoma"/>
      <family val="2"/>
    </font>
    <font>
      <sz val="12"/>
      <color theme="0"/>
      <name val="Tahoma"/>
      <family val="2"/>
    </font>
    <font>
      <sz val="12"/>
      <color rgb="FF2C2825"/>
      <name val="Tahoma"/>
      <family val="2"/>
    </font>
    <font>
      <strike/>
      <sz val="12"/>
      <name val="Tahoma"/>
      <family val="2"/>
    </font>
    <font>
      <u/>
      <sz val="12"/>
      <color theme="4"/>
      <name val="Tahoma"/>
      <family val="2"/>
    </font>
    <font>
      <sz val="12"/>
      <color rgb="FF444444"/>
      <name val="Tahoma"/>
      <family val="2"/>
    </font>
    <font>
      <b/>
      <sz val="12"/>
      <color theme="0"/>
      <name val="Tahoma"/>
      <family val="2"/>
    </font>
    <font>
      <sz val="12"/>
      <color theme="4"/>
      <name val="Tahoma"/>
      <family val="2"/>
    </font>
    <font>
      <strike/>
      <sz val="12"/>
      <color theme="1"/>
      <name val="Tahoma"/>
      <family val="2"/>
    </font>
    <font>
      <b/>
      <sz val="12"/>
      <color theme="4"/>
      <name val="Tahoma"/>
      <family val="2"/>
    </font>
    <font>
      <u/>
      <sz val="15"/>
      <name val="Tahoma"/>
      <family val="2"/>
    </font>
    <font>
      <i/>
      <sz val="15"/>
      <color rgb="FF201F1E"/>
      <name val="Tahoma"/>
      <family val="2"/>
    </font>
    <font>
      <sz val="15"/>
      <color theme="1"/>
      <name val="Tahoma"/>
      <family val="2"/>
    </font>
    <font>
      <b/>
      <u/>
      <sz val="12"/>
      <color theme="10"/>
      <name val="Tahoma"/>
      <family val="2"/>
    </font>
    <font>
      <sz val="15"/>
      <color theme="8" tint="0.59999389629810485"/>
      <name val="Tahoma"/>
      <family val="2"/>
    </font>
    <font>
      <u/>
      <sz val="15"/>
      <color theme="8" tint="-0.249977111117893"/>
      <name val="Tahoma"/>
      <family val="2"/>
    </font>
    <font>
      <sz val="12"/>
      <color indexed="8"/>
      <name val="Tahoma"/>
      <family val="2"/>
    </font>
    <font>
      <i/>
      <sz val="12"/>
      <color rgb="FF000000"/>
      <name val="Tahoma"/>
      <family val="2"/>
    </font>
    <font>
      <b/>
      <sz val="24"/>
      <color rgb="FF201F1E"/>
      <name val="Tahoma"/>
      <family val="2"/>
    </font>
  </fonts>
  <fills count="1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D1FF"/>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3AFF5"/>
        <bgColor indexed="64"/>
      </patternFill>
    </fill>
    <fill>
      <patternFill patternType="solid">
        <fgColor theme="9" tint="0.59999389629810485"/>
        <bgColor indexed="64"/>
      </patternFill>
    </fill>
    <fill>
      <patternFill patternType="solid">
        <fgColor rgb="FF9ECB7F"/>
        <bgColor indexed="64"/>
      </patternFill>
    </fill>
    <fill>
      <patternFill patternType="solid">
        <fgColor rgb="FFBDEBFB"/>
        <bgColor indexed="64"/>
      </patternFill>
    </fill>
    <fill>
      <patternFill patternType="solid">
        <fgColor rgb="FF76D7EE"/>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13" fillId="0" borderId="0"/>
  </cellStyleXfs>
  <cellXfs count="378">
    <xf numFmtId="0" fontId="0" fillId="0" borderId="0" xfId="0"/>
    <xf numFmtId="0" fontId="2" fillId="2" borderId="0" xfId="0" applyFont="1" applyFill="1"/>
    <xf numFmtId="0" fontId="8" fillId="0" borderId="0" xfId="0" applyFont="1" applyAlignment="1">
      <alignment horizontal="right"/>
    </xf>
    <xf numFmtId="43" fontId="8" fillId="0" borderId="0" xfId="2" applyFont="1" applyAlignment="1">
      <alignment horizontal="left"/>
    </xf>
    <xf numFmtId="0" fontId="8" fillId="0" borderId="0" xfId="0" applyFont="1" applyAlignment="1">
      <alignment horizontal="left"/>
    </xf>
    <xf numFmtId="0" fontId="9" fillId="0" borderId="0" xfId="0" applyFont="1" applyAlignment="1">
      <alignment horizontal="left" vertical="top"/>
    </xf>
    <xf numFmtId="0" fontId="10" fillId="0" borderId="0" xfId="0" applyFont="1"/>
    <xf numFmtId="0" fontId="8" fillId="0" borderId="0" xfId="0" applyFont="1" applyAlignment="1">
      <alignment horizontal="left" vertical="top"/>
    </xf>
    <xf numFmtId="0" fontId="1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0" borderId="0" xfId="0" applyFont="1" applyAlignment="1">
      <alignment horizontal="center" vertical="center"/>
    </xf>
    <xf numFmtId="0" fontId="11" fillId="0" borderId="1" xfId="0" applyFont="1" applyBorder="1" applyAlignment="1">
      <alignment horizontal="left" vertical="top" wrapText="1"/>
    </xf>
    <xf numFmtId="165" fontId="7" fillId="0" borderId="1" xfId="2" applyNumberFormat="1" applyFont="1" applyBorder="1" applyAlignment="1">
      <alignment horizontal="righ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0" xfId="0" applyFont="1" applyAlignment="1">
      <alignment wrapText="1"/>
    </xf>
    <xf numFmtId="165" fontId="8" fillId="0" borderId="1" xfId="2" applyNumberFormat="1" applyFont="1" applyBorder="1" applyAlignment="1">
      <alignment horizontal="right" vertical="top" wrapText="1"/>
    </xf>
    <xf numFmtId="165" fontId="8" fillId="0" borderId="1" xfId="2" applyNumberFormat="1" applyFont="1" applyBorder="1" applyAlignment="1">
      <alignment horizontal="left" vertical="top" wrapText="1"/>
    </xf>
    <xf numFmtId="0" fontId="9" fillId="0" borderId="0" xfId="0" applyFont="1"/>
    <xf numFmtId="165" fontId="8" fillId="0" borderId="1" xfId="2" applyNumberFormat="1" applyFont="1" applyFill="1" applyBorder="1" applyAlignment="1">
      <alignment horizontal="right" vertical="top" wrapText="1"/>
    </xf>
    <xf numFmtId="165" fontId="7" fillId="0" borderId="1" xfId="2" applyNumberFormat="1" applyFont="1" applyFill="1" applyBorder="1" applyAlignment="1">
      <alignment horizontal="right" vertical="top" wrapText="1"/>
    </xf>
    <xf numFmtId="0" fontId="9" fillId="0" borderId="1" xfId="0" applyFont="1" applyBorder="1" applyAlignment="1">
      <alignment horizontal="left" vertical="top"/>
    </xf>
    <xf numFmtId="0" fontId="7" fillId="0" borderId="1" xfId="0" applyFont="1" applyBorder="1" applyAlignment="1">
      <alignment horizontal="left" vertical="top" wrapText="1"/>
    </xf>
    <xf numFmtId="165" fontId="9" fillId="0" borderId="1" xfId="2" applyNumberFormat="1" applyFont="1" applyFill="1" applyBorder="1" applyAlignment="1">
      <alignment vertical="top" wrapText="1"/>
    </xf>
    <xf numFmtId="0" fontId="8" fillId="0" borderId="1" xfId="0" applyFont="1" applyBorder="1" applyAlignment="1">
      <alignment vertical="top" wrapText="1"/>
    </xf>
    <xf numFmtId="0" fontId="8" fillId="5" borderId="1" xfId="0" applyFont="1" applyFill="1" applyBorder="1" applyAlignment="1">
      <alignment horizontal="left" vertical="top" wrapText="1"/>
    </xf>
    <xf numFmtId="165" fontId="8" fillId="5" borderId="1" xfId="2" applyNumberFormat="1" applyFont="1" applyFill="1" applyBorder="1" applyAlignment="1">
      <alignment horizontal="right" vertical="top" wrapText="1"/>
    </xf>
    <xf numFmtId="0" fontId="9" fillId="5" borderId="1" xfId="0" applyFont="1" applyFill="1" applyBorder="1" applyAlignment="1">
      <alignment vertical="top" wrapText="1"/>
    </xf>
    <xf numFmtId="0" fontId="8" fillId="5" borderId="1" xfId="0" applyFont="1" applyFill="1" applyBorder="1" applyAlignment="1">
      <alignment vertical="top" wrapText="1"/>
    </xf>
    <xf numFmtId="0" fontId="9" fillId="5" borderId="1" xfId="0" applyFont="1" applyFill="1" applyBorder="1" applyAlignment="1">
      <alignment horizontal="left" vertical="top" wrapText="1"/>
    </xf>
    <xf numFmtId="165" fontId="11" fillId="0" borderId="1" xfId="2" applyNumberFormat="1" applyFont="1" applyFill="1" applyBorder="1" applyAlignment="1">
      <alignment vertical="center" wrapText="1"/>
    </xf>
    <xf numFmtId="0" fontId="11" fillId="0" borderId="0" xfId="0" applyFont="1" applyAlignment="1">
      <alignment horizontal="left" vertical="top" wrapText="1"/>
    </xf>
    <xf numFmtId="43" fontId="9" fillId="0" borderId="0" xfId="2" applyFont="1" applyAlignment="1">
      <alignment horizontal="right" vertical="top" wrapText="1"/>
    </xf>
    <xf numFmtId="0" fontId="8" fillId="0" borderId="0" xfId="0" applyFont="1" applyAlignment="1">
      <alignment vertical="top" wrapText="1"/>
    </xf>
    <xf numFmtId="0" fontId="9" fillId="0" borderId="0" xfId="0" applyFont="1" applyAlignment="1">
      <alignment vertical="top" wrapText="1"/>
    </xf>
    <xf numFmtId="0" fontId="7" fillId="0" borderId="0" xfId="0" applyFont="1" applyAlignment="1">
      <alignment horizontal="left" vertical="top" wrapText="1"/>
    </xf>
    <xf numFmtId="3" fontId="11" fillId="0" borderId="0" xfId="2" applyNumberFormat="1" applyFont="1" applyFill="1" applyAlignment="1">
      <alignment horizontal="right" vertical="top"/>
    </xf>
    <xf numFmtId="0" fontId="8" fillId="0" borderId="0" xfId="0" applyFont="1"/>
    <xf numFmtId="0" fontId="9" fillId="0" borderId="0" xfId="0" applyFont="1" applyAlignment="1">
      <alignment vertical="top"/>
    </xf>
    <xf numFmtId="3" fontId="11" fillId="0" borderId="0" xfId="0" applyNumberFormat="1" applyFont="1" applyAlignment="1">
      <alignment horizontal="right" vertical="top"/>
    </xf>
    <xf numFmtId="43" fontId="11" fillId="0" borderId="0" xfId="0" applyNumberFormat="1" applyFont="1" applyAlignment="1">
      <alignment horizontal="right" vertical="top"/>
    </xf>
    <xf numFmtId="4" fontId="9" fillId="0" borderId="0" xfId="2" applyNumberFormat="1" applyFont="1" applyFill="1" applyAlignment="1">
      <alignment horizontal="right" vertical="top"/>
    </xf>
    <xf numFmtId="0" fontId="9" fillId="0" borderId="0" xfId="0" applyFont="1" applyAlignment="1">
      <alignment horizontal="right" vertical="top"/>
    </xf>
    <xf numFmtId="0" fontId="11" fillId="0" borderId="0" xfId="0" applyFont="1" applyAlignment="1">
      <alignment horizontal="left" vertical="top"/>
    </xf>
    <xf numFmtId="3" fontId="9" fillId="0" borderId="0" xfId="2" applyNumberFormat="1" applyFont="1" applyFill="1" applyAlignment="1">
      <alignment horizontal="right" vertical="top"/>
    </xf>
    <xf numFmtId="3" fontId="9" fillId="0" borderId="0" xfId="2" applyNumberFormat="1" applyFont="1" applyAlignment="1">
      <alignment horizontal="right" vertical="top"/>
    </xf>
    <xf numFmtId="43" fontId="7" fillId="0" borderId="0" xfId="0" applyNumberFormat="1" applyFont="1" applyAlignment="1">
      <alignment horizontal="center" vertical="center"/>
    </xf>
    <xf numFmtId="0" fontId="7" fillId="0" borderId="0" xfId="0" applyFont="1" applyAlignment="1">
      <alignment horizontal="center" vertical="center"/>
    </xf>
    <xf numFmtId="3" fontId="8" fillId="0" borderId="0" xfId="0" applyNumberFormat="1" applyFont="1" applyAlignment="1">
      <alignment horizontal="right" vertical="top"/>
    </xf>
    <xf numFmtId="4" fontId="8" fillId="0" borderId="0" xfId="0" applyNumberFormat="1" applyFont="1" applyAlignment="1">
      <alignment horizontal="right" vertical="top"/>
    </xf>
    <xf numFmtId="4" fontId="9" fillId="0" borderId="0" xfId="0" applyNumberFormat="1" applyFont="1" applyAlignment="1">
      <alignment vertical="top"/>
    </xf>
    <xf numFmtId="43" fontId="9" fillId="0" borderId="0" xfId="0" applyNumberFormat="1" applyFont="1" applyAlignment="1">
      <alignment vertical="top"/>
    </xf>
    <xf numFmtId="0" fontId="8" fillId="0" borderId="0" xfId="0" quotePrefix="1" applyFont="1"/>
    <xf numFmtId="0" fontId="8" fillId="0" borderId="0" xfId="0" quotePrefix="1" applyFont="1" applyAlignment="1">
      <alignment vertical="top" wrapText="1"/>
    </xf>
    <xf numFmtId="0" fontId="8" fillId="0" borderId="2" xfId="3" applyFont="1" applyBorder="1" applyAlignment="1">
      <alignment vertical="top"/>
    </xf>
    <xf numFmtId="0" fontId="8" fillId="0" borderId="0" xfId="3" applyFont="1" applyAlignment="1">
      <alignment vertical="top" wrapText="1"/>
    </xf>
    <xf numFmtId="0" fontId="14" fillId="0" borderId="1" xfId="0" applyFont="1" applyBorder="1" applyAlignment="1">
      <alignment horizontal="left" vertical="top" wrapText="1"/>
    </xf>
    <xf numFmtId="0" fontId="9" fillId="0" borderId="1" xfId="0" applyFont="1" applyBorder="1" applyAlignment="1">
      <alignment vertical="center" wrapText="1"/>
    </xf>
    <xf numFmtId="0" fontId="9" fillId="0" borderId="3" xfId="0" applyFont="1" applyBorder="1" applyAlignment="1">
      <alignment vertical="top" wrapText="1"/>
    </xf>
    <xf numFmtId="165" fontId="11" fillId="0" borderId="1" xfId="2" applyNumberFormat="1" applyFont="1" applyFill="1" applyBorder="1" applyAlignment="1">
      <alignment vertical="top" wrapText="1"/>
    </xf>
    <xf numFmtId="0" fontId="9" fillId="0" borderId="0" xfId="0" quotePrefix="1" applyFont="1" applyAlignment="1">
      <alignment vertical="top"/>
    </xf>
    <xf numFmtId="0" fontId="15" fillId="0" borderId="0" xfId="0" applyFont="1"/>
    <xf numFmtId="0" fontId="8" fillId="0" borderId="0" xfId="0" applyFont="1" applyAlignment="1">
      <alignment horizontal="center" vertical="center"/>
    </xf>
    <xf numFmtId="0" fontId="8" fillId="0" borderId="0" xfId="0" applyFont="1" applyAlignment="1">
      <alignment wrapText="1"/>
    </xf>
    <xf numFmtId="0" fontId="8" fillId="0" borderId="1" xfId="0" applyFont="1" applyBorder="1" applyAlignment="1">
      <alignment vertical="center" wrapText="1"/>
    </xf>
    <xf numFmtId="0" fontId="8" fillId="0" borderId="3" xfId="0" applyFont="1" applyBorder="1" applyAlignment="1">
      <alignment vertical="center" wrapText="1"/>
    </xf>
    <xf numFmtId="0" fontId="8" fillId="0" borderId="1" xfId="0" applyFont="1" applyBorder="1" applyAlignment="1">
      <alignment horizontal="left" vertical="top"/>
    </xf>
    <xf numFmtId="165" fontId="8" fillId="0" borderId="1" xfId="2" applyNumberFormat="1" applyFont="1" applyFill="1" applyBorder="1" applyAlignment="1">
      <alignment vertical="top" wrapText="1"/>
    </xf>
    <xf numFmtId="165" fontId="7" fillId="0" borderId="1" xfId="2" applyNumberFormat="1" applyFont="1" applyFill="1" applyBorder="1" applyAlignment="1">
      <alignment vertical="center" wrapText="1"/>
    </xf>
    <xf numFmtId="43" fontId="8" fillId="0" borderId="0" xfId="2" applyFont="1" applyAlignment="1">
      <alignment horizontal="right" vertical="top" wrapText="1"/>
    </xf>
    <xf numFmtId="0" fontId="8" fillId="0" borderId="0" xfId="0" applyFont="1" applyAlignment="1">
      <alignment vertical="top"/>
    </xf>
    <xf numFmtId="3" fontId="7" fillId="0" borderId="0" xfId="0" applyNumberFormat="1" applyFont="1" applyAlignment="1">
      <alignment horizontal="right" vertical="top"/>
    </xf>
    <xf numFmtId="43" fontId="7" fillId="0" borderId="0" xfId="0" applyNumberFormat="1" applyFont="1" applyAlignment="1">
      <alignment horizontal="right" vertical="top"/>
    </xf>
    <xf numFmtId="4" fontId="8" fillId="0" borderId="0" xfId="2" applyNumberFormat="1" applyFont="1" applyFill="1" applyAlignment="1">
      <alignment horizontal="right" vertical="top"/>
    </xf>
    <xf numFmtId="0" fontId="8" fillId="0" borderId="0" xfId="0" applyFont="1" applyAlignment="1">
      <alignment horizontal="right" vertical="top"/>
    </xf>
    <xf numFmtId="0" fontId="7" fillId="0" borderId="0" xfId="0" applyFont="1" applyAlignment="1">
      <alignment horizontal="left" vertical="top"/>
    </xf>
    <xf numFmtId="3" fontId="8" fillId="0" borderId="0" xfId="2" applyNumberFormat="1" applyFont="1" applyFill="1" applyAlignment="1">
      <alignment horizontal="right" vertical="top"/>
    </xf>
    <xf numFmtId="3" fontId="8" fillId="0" borderId="0" xfId="2" applyNumberFormat="1" applyFont="1" applyAlignment="1">
      <alignment horizontal="right" vertical="top"/>
    </xf>
    <xf numFmtId="4" fontId="8" fillId="0" borderId="0" xfId="0" applyNumberFormat="1" applyFont="1" applyAlignment="1">
      <alignment vertical="top"/>
    </xf>
    <xf numFmtId="43" fontId="8" fillId="0" borderId="0" xfId="0" applyNumberFormat="1" applyFont="1" applyAlignment="1">
      <alignment vertical="top"/>
    </xf>
    <xf numFmtId="39" fontId="8" fillId="0" borderId="0" xfId="2" applyNumberFormat="1" applyFont="1" applyAlignment="1">
      <alignment horizontal="right"/>
    </xf>
    <xf numFmtId="3" fontId="9" fillId="0" borderId="1" xfId="2" applyNumberFormat="1" applyFont="1" applyFill="1" applyBorder="1" applyAlignment="1">
      <alignment vertical="top" wrapText="1"/>
    </xf>
    <xf numFmtId="0" fontId="9" fillId="0" borderId="3" xfId="0" applyFont="1" applyBorder="1" applyAlignment="1">
      <alignment horizontal="left" vertical="top" wrapText="1"/>
    </xf>
    <xf numFmtId="0" fontId="9" fillId="0" borderId="1" xfId="0" applyFont="1" applyBorder="1" applyAlignment="1">
      <alignment vertical="top" wrapText="1"/>
    </xf>
    <xf numFmtId="166" fontId="8" fillId="0" borderId="0" xfId="0" applyNumberFormat="1" applyFont="1" applyAlignment="1">
      <alignment horizontal="right"/>
    </xf>
    <xf numFmtId="165" fontId="9" fillId="0" borderId="1" xfId="2" applyNumberFormat="1" applyFont="1" applyFill="1" applyBorder="1" applyAlignment="1">
      <alignment vertical="center" wrapText="1"/>
    </xf>
    <xf numFmtId="43" fontId="11" fillId="0" borderId="1" xfId="2" applyFont="1" applyFill="1" applyBorder="1" applyAlignment="1">
      <alignment vertical="center" wrapText="1"/>
    </xf>
    <xf numFmtId="43" fontId="7" fillId="0" borderId="1" xfId="2" applyFont="1" applyBorder="1" applyAlignment="1">
      <alignment horizontal="right" vertical="top" wrapText="1"/>
    </xf>
    <xf numFmtId="4" fontId="9" fillId="0" borderId="0" xfId="2" applyNumberFormat="1" applyFont="1" applyAlignment="1">
      <alignment horizontal="right" vertical="top"/>
    </xf>
    <xf numFmtId="0" fontId="8" fillId="0" borderId="0" xfId="0" applyFont="1" applyAlignment="1">
      <alignment horizontal="left" vertical="top" wrapText="1"/>
    </xf>
    <xf numFmtId="0" fontId="8" fillId="0" borderId="1" xfId="0" applyFont="1" applyBorder="1" applyAlignment="1">
      <alignment wrapText="1"/>
    </xf>
    <xf numFmtId="165" fontId="8" fillId="0" borderId="1" xfId="2" applyNumberFormat="1" applyFont="1" applyFill="1" applyBorder="1" applyAlignment="1">
      <alignment vertical="center" wrapText="1"/>
    </xf>
    <xf numFmtId="0" fontId="8" fillId="0" borderId="3" xfId="0" applyFont="1" applyBorder="1" applyAlignment="1">
      <alignment vertical="top" wrapText="1"/>
    </xf>
    <xf numFmtId="0" fontId="8" fillId="0" borderId="1" xfId="0" applyFont="1" applyBorder="1" applyAlignment="1">
      <alignment vertical="top"/>
    </xf>
    <xf numFmtId="165" fontId="7" fillId="0" borderId="0" xfId="2" applyNumberFormat="1" applyFont="1" applyAlignment="1">
      <alignment horizontal="right" vertical="top"/>
    </xf>
    <xf numFmtId="4" fontId="8" fillId="0" borderId="0" xfId="2" applyNumberFormat="1" applyFont="1" applyAlignment="1">
      <alignment horizontal="right" vertical="top"/>
    </xf>
    <xf numFmtId="43" fontId="8" fillId="0" borderId="0" xfId="2" applyFont="1" applyAlignment="1">
      <alignment horizontal="right" vertical="top"/>
    </xf>
    <xf numFmtId="43" fontId="8" fillId="0" borderId="1" xfId="2" applyFont="1" applyBorder="1" applyAlignment="1">
      <alignment horizontal="right" vertical="top" wrapText="1"/>
    </xf>
    <xf numFmtId="43" fontId="8" fillId="0" borderId="1" xfId="2" applyFont="1" applyBorder="1" applyAlignment="1">
      <alignment horizontal="left" vertical="top" wrapText="1"/>
    </xf>
    <xf numFmtId="43" fontId="8" fillId="0" borderId="1" xfId="2" applyFont="1" applyFill="1" applyBorder="1" applyAlignment="1">
      <alignment horizontal="right" vertical="top" wrapText="1"/>
    </xf>
    <xf numFmtId="43" fontId="9" fillId="0" borderId="1" xfId="2" applyFont="1" applyFill="1" applyBorder="1" applyAlignment="1">
      <alignment vertical="top" wrapText="1"/>
    </xf>
    <xf numFmtId="43" fontId="9" fillId="0" borderId="1" xfId="2" applyFont="1" applyFill="1" applyBorder="1" applyAlignment="1">
      <alignment vertical="center" wrapText="1"/>
    </xf>
    <xf numFmtId="0" fontId="9" fillId="0" borderId="3" xfId="0" applyFont="1" applyBorder="1" applyAlignment="1">
      <alignment vertical="center" wrapText="1"/>
    </xf>
    <xf numFmtId="43" fontId="11" fillId="0" borderId="0" xfId="2" applyFont="1" applyAlignment="1">
      <alignment horizontal="right" vertical="top"/>
    </xf>
    <xf numFmtId="0" fontId="14" fillId="0" borderId="0" xfId="0" applyFont="1"/>
    <xf numFmtId="43" fontId="9" fillId="0" borderId="0" xfId="2" applyFont="1" applyAlignment="1">
      <alignment vertical="top"/>
    </xf>
    <xf numFmtId="0" fontId="8" fillId="0" borderId="0" xfId="3" quotePrefix="1" applyFont="1" applyAlignment="1">
      <alignment vertical="top"/>
    </xf>
    <xf numFmtId="37" fontId="9" fillId="0" borderId="1" xfId="2" applyNumberFormat="1" applyFont="1" applyFill="1" applyBorder="1" applyAlignment="1">
      <alignment vertical="top" wrapText="1"/>
    </xf>
    <xf numFmtId="0" fontId="9" fillId="0" borderId="1" xfId="0" applyFont="1" applyBorder="1" applyAlignment="1">
      <alignment vertical="top"/>
    </xf>
    <xf numFmtId="3" fontId="11" fillId="0" borderId="0" xfId="2" applyNumberFormat="1" applyFont="1" applyAlignment="1">
      <alignment horizontal="right" vertical="top"/>
    </xf>
    <xf numFmtId="0" fontId="8" fillId="0" borderId="3" xfId="0" applyFont="1" applyBorder="1" applyAlignment="1">
      <alignment horizontal="left" vertical="top" wrapText="1"/>
    </xf>
    <xf numFmtId="0" fontId="17" fillId="0" borderId="0" xfId="1" applyFont="1"/>
    <xf numFmtId="0" fontId="18" fillId="4" borderId="0" xfId="0" applyFont="1" applyFill="1" applyAlignment="1">
      <alignment horizontal="left" vertical="top" wrapText="1"/>
    </xf>
    <xf numFmtId="0" fontId="7" fillId="0" borderId="0" xfId="0" applyFont="1" applyAlignment="1">
      <alignment horizontal="right"/>
    </xf>
    <xf numFmtId="0" fontId="7" fillId="0" borderId="0" xfId="0" applyFont="1" applyAlignment="1">
      <alignment horizontal="left"/>
    </xf>
    <xf numFmtId="0" fontId="7" fillId="4" borderId="1" xfId="0" applyFont="1" applyFill="1" applyBorder="1" applyAlignment="1">
      <alignment horizontal="center" vertical="top" wrapText="1"/>
    </xf>
    <xf numFmtId="0" fontId="11" fillId="4" borderId="1" xfId="0" applyFont="1" applyFill="1" applyBorder="1" applyAlignment="1">
      <alignment horizontal="center" vertical="top" wrapText="1"/>
    </xf>
    <xf numFmtId="0" fontId="17" fillId="0" borderId="1" xfId="1" applyFont="1" applyBorder="1" applyAlignment="1">
      <alignment horizontal="left" vertical="top" wrapText="1"/>
    </xf>
    <xf numFmtId="0" fontId="8" fillId="0" borderId="1" xfId="1" applyFont="1" applyFill="1" applyBorder="1" applyAlignment="1">
      <alignment horizontal="left" vertical="top" wrapText="1"/>
    </xf>
    <xf numFmtId="43" fontId="8" fillId="5" borderId="1" xfId="2" applyFont="1" applyFill="1" applyBorder="1" applyAlignment="1">
      <alignment horizontal="right" vertical="top" wrapText="1"/>
    </xf>
    <xf numFmtId="165" fontId="9" fillId="0" borderId="0" xfId="2" applyNumberFormat="1" applyFont="1" applyAlignment="1">
      <alignment horizontal="right" vertical="top" wrapText="1"/>
    </xf>
    <xf numFmtId="165" fontId="11" fillId="0" borderId="0" xfId="2" applyNumberFormat="1" applyFont="1" applyAlignment="1">
      <alignment horizontal="right" vertical="top"/>
    </xf>
    <xf numFmtId="2" fontId="9" fillId="0" borderId="0" xfId="0" applyNumberFormat="1" applyFont="1"/>
    <xf numFmtId="167" fontId="16" fillId="0" borderId="0" xfId="0" applyNumberFormat="1" applyFont="1"/>
    <xf numFmtId="3" fontId="9" fillId="0" borderId="0" xfId="0" applyNumberFormat="1" applyFont="1" applyAlignment="1">
      <alignment horizontal="right" vertical="top"/>
    </xf>
    <xf numFmtId="0" fontId="8" fillId="0" borderId="0" xfId="0" quotePrefix="1" applyFont="1" applyAlignment="1">
      <alignment horizontal="left" vertical="top"/>
    </xf>
    <xf numFmtId="0" fontId="9" fillId="0" borderId="0" xfId="0" applyFont="1" applyAlignment="1">
      <alignment horizontal="left" vertical="top" wrapText="1"/>
    </xf>
    <xf numFmtId="0" fontId="20" fillId="0" borderId="0" xfId="0" applyFont="1" applyAlignment="1">
      <alignment vertical="top" wrapText="1"/>
    </xf>
    <xf numFmtId="165" fontId="8" fillId="0" borderId="1" xfId="2" applyNumberFormat="1" applyFont="1" applyFill="1" applyBorder="1" applyAlignment="1">
      <alignment horizontal="left" vertical="top" wrapText="1"/>
    </xf>
    <xf numFmtId="165" fontId="14" fillId="0" borderId="1" xfId="2" applyNumberFormat="1" applyFont="1" applyBorder="1" applyAlignment="1">
      <alignment horizontal="right" vertical="top" wrapText="1"/>
    </xf>
    <xf numFmtId="0" fontId="11" fillId="5" borderId="1" xfId="0" applyFont="1" applyFill="1" applyBorder="1" applyAlignment="1">
      <alignment horizontal="left" vertical="top" wrapText="1"/>
    </xf>
    <xf numFmtId="43" fontId="7" fillId="5" borderId="1" xfId="2" applyFont="1" applyFill="1" applyBorder="1" applyAlignment="1">
      <alignment horizontal="right" vertical="top" wrapText="1"/>
    </xf>
    <xf numFmtId="165" fontId="11" fillId="0" borderId="0" xfId="2" applyNumberFormat="1" applyFont="1" applyFill="1" applyAlignment="1">
      <alignment horizontal="right" vertical="top"/>
    </xf>
    <xf numFmtId="0" fontId="16" fillId="0" borderId="0" xfId="0" applyFont="1" applyAlignment="1">
      <alignment vertical="top"/>
    </xf>
    <xf numFmtId="165" fontId="9" fillId="0" borderId="0" xfId="2" applyNumberFormat="1" applyFont="1" applyAlignment="1">
      <alignment vertical="top"/>
    </xf>
    <xf numFmtId="3" fontId="9" fillId="0" borderId="0" xfId="0" applyNumberFormat="1" applyFont="1"/>
    <xf numFmtId="0" fontId="20" fillId="0" borderId="0" xfId="0" applyFont="1" applyAlignment="1">
      <alignment vertical="center"/>
    </xf>
    <xf numFmtId="0" fontId="20" fillId="0" borderId="0" xfId="0" applyFont="1" applyAlignment="1">
      <alignment vertical="top"/>
    </xf>
    <xf numFmtId="0" fontId="8" fillId="0" borderId="0" xfId="0" quotePrefix="1" applyFont="1" applyAlignment="1">
      <alignment horizontal="center" vertical="top" wrapText="1"/>
    </xf>
    <xf numFmtId="0" fontId="8" fillId="0" borderId="0" xfId="0" quotePrefix="1" applyFont="1" applyAlignment="1">
      <alignment horizontal="left" vertical="top" wrapText="1"/>
    </xf>
    <xf numFmtId="0" fontId="20" fillId="0" borderId="0" xfId="0" applyFont="1" applyAlignment="1">
      <alignment horizontal="left" vertical="center" indent="4"/>
    </xf>
    <xf numFmtId="165" fontId="9" fillId="0" borderId="1" xfId="2" applyNumberFormat="1" applyFont="1" applyBorder="1" applyAlignment="1">
      <alignment vertical="top"/>
    </xf>
    <xf numFmtId="0" fontId="22" fillId="0" borderId="0" xfId="0" applyFont="1" applyAlignment="1">
      <alignment vertical="top"/>
    </xf>
    <xf numFmtId="2" fontId="9" fillId="0" borderId="0" xfId="2" applyNumberFormat="1" applyFont="1" applyFill="1" applyAlignment="1">
      <alignment horizontal="right" vertical="top"/>
    </xf>
    <xf numFmtId="43" fontId="8" fillId="0" borderId="0" xfId="2" applyFont="1" applyAlignment="1">
      <alignment vertical="top"/>
    </xf>
    <xf numFmtId="43" fontId="8" fillId="0" borderId="0" xfId="2" applyFont="1" applyAlignment="1">
      <alignment horizontal="left" vertical="top"/>
    </xf>
    <xf numFmtId="2" fontId="9" fillId="0" borderId="0" xfId="2" applyNumberFormat="1" applyFont="1" applyAlignment="1">
      <alignment horizontal="right" vertical="top"/>
    </xf>
    <xf numFmtId="0" fontId="8" fillId="0" borderId="0" xfId="0" applyFont="1" applyAlignment="1">
      <alignment vertical="center"/>
    </xf>
    <xf numFmtId="0" fontId="20" fillId="0" borderId="0" xfId="0" applyFont="1"/>
    <xf numFmtId="0" fontId="14" fillId="0" borderId="0" xfId="0" applyFont="1" applyAlignment="1">
      <alignment vertical="top"/>
    </xf>
    <xf numFmtId="0" fontId="9" fillId="0" borderId="1" xfId="0" applyFont="1" applyBorder="1" applyAlignment="1">
      <alignment wrapText="1"/>
    </xf>
    <xf numFmtId="0" fontId="8" fillId="0" borderId="1" xfId="0" quotePrefix="1" applyFont="1" applyBorder="1" applyAlignment="1">
      <alignment horizontal="left" vertical="top" wrapText="1"/>
    </xf>
    <xf numFmtId="165" fontId="9" fillId="0" borderId="0" xfId="2" applyNumberFormat="1" applyFont="1"/>
    <xf numFmtId="3" fontId="9" fillId="0" borderId="0" xfId="0" applyNumberFormat="1" applyFont="1" applyAlignment="1">
      <alignment vertical="top"/>
    </xf>
    <xf numFmtId="0" fontId="22" fillId="0" borderId="0" xfId="0" applyFont="1" applyAlignment="1">
      <alignment horizontal="left" vertical="top" wrapText="1"/>
    </xf>
    <xf numFmtId="165" fontId="26" fillId="0" borderId="0" xfId="2" applyNumberFormat="1" applyFont="1" applyAlignment="1">
      <alignment horizontal="right" vertical="center" wrapText="1"/>
    </xf>
    <xf numFmtId="165" fontId="22" fillId="0" borderId="0" xfId="2" applyNumberFormat="1" applyFont="1" applyAlignment="1">
      <alignment vertical="top"/>
    </xf>
    <xf numFmtId="165" fontId="7" fillId="4" borderId="1" xfId="2" applyNumberFormat="1" applyFont="1" applyFill="1" applyBorder="1" applyAlignment="1">
      <alignment horizontal="center" vertical="center" wrapText="1"/>
    </xf>
    <xf numFmtId="165" fontId="9" fillId="0" borderId="0" xfId="2" applyNumberFormat="1" applyFont="1" applyAlignment="1">
      <alignment horizontal="right" vertical="top"/>
    </xf>
    <xf numFmtId="165" fontId="9" fillId="0" borderId="0" xfId="2" applyNumberFormat="1" applyFont="1" applyFill="1" applyAlignment="1">
      <alignment horizontal="right" vertical="top"/>
    </xf>
    <xf numFmtId="165" fontId="7" fillId="0" borderId="0" xfId="2" applyNumberFormat="1" applyFont="1" applyAlignment="1">
      <alignment horizontal="center" vertical="center"/>
    </xf>
    <xf numFmtId="165" fontId="8" fillId="0" borderId="0" xfId="2" quotePrefix="1" applyNumberFormat="1" applyFont="1" applyAlignment="1">
      <alignment vertical="top" wrapText="1"/>
    </xf>
    <xf numFmtId="165" fontId="8" fillId="0" borderId="0" xfId="2" applyNumberFormat="1" applyFont="1"/>
    <xf numFmtId="165" fontId="8" fillId="0" borderId="0" xfId="2" applyNumberFormat="1" applyFont="1" applyAlignment="1">
      <alignment vertical="center"/>
    </xf>
    <xf numFmtId="165" fontId="9" fillId="0" borderId="0" xfId="2" applyNumberFormat="1" applyFont="1" applyAlignment="1">
      <alignment vertical="top" wrapText="1"/>
    </xf>
    <xf numFmtId="0" fontId="16" fillId="0" borderId="0" xfId="0" applyFont="1" applyAlignment="1">
      <alignment horizontal="left" vertical="top"/>
    </xf>
    <xf numFmtId="0" fontId="26" fillId="0" borderId="0" xfId="0" applyFont="1" applyAlignment="1">
      <alignment vertical="top" wrapText="1"/>
    </xf>
    <xf numFmtId="0" fontId="28" fillId="0" borderId="0" xfId="0" applyFont="1" applyAlignment="1">
      <alignment vertical="top" wrapText="1"/>
    </xf>
    <xf numFmtId="0" fontId="16" fillId="0" borderId="0" xfId="0" applyFont="1" applyAlignment="1">
      <alignment horizontal="left" vertical="top" wrapText="1"/>
    </xf>
    <xf numFmtId="0" fontId="29" fillId="0" borderId="0" xfId="0" applyFont="1" applyAlignment="1">
      <alignment vertical="center" wrapText="1"/>
    </xf>
    <xf numFmtId="165" fontId="11" fillId="0" borderId="1" xfId="2" quotePrefix="1" applyNumberFormat="1" applyFont="1" applyFill="1" applyBorder="1" applyAlignment="1">
      <alignment vertical="top" wrapText="1"/>
    </xf>
    <xf numFmtId="0" fontId="9" fillId="0" borderId="4" xfId="0" applyFont="1" applyBorder="1" applyAlignment="1">
      <alignment vertical="top" wrapText="1"/>
    </xf>
    <xf numFmtId="43" fontId="9" fillId="0" borderId="0" xfId="2" applyFont="1" applyAlignment="1">
      <alignment horizontal="right" vertical="top"/>
    </xf>
    <xf numFmtId="166" fontId="8" fillId="0" borderId="0" xfId="0" applyNumberFormat="1" applyFont="1" applyAlignment="1">
      <alignment horizontal="right" vertical="top"/>
    </xf>
    <xf numFmtId="3" fontId="8" fillId="0" borderId="0" xfId="0" applyNumberFormat="1" applyFont="1" applyAlignment="1">
      <alignment horizontal="right" vertical="center" wrapText="1"/>
    </xf>
    <xf numFmtId="0" fontId="7" fillId="0" borderId="0" xfId="0" applyFont="1" applyAlignment="1">
      <alignment vertical="top"/>
    </xf>
    <xf numFmtId="3" fontId="8" fillId="0" borderId="0" xfId="0" applyNumberFormat="1" applyFont="1" applyAlignment="1">
      <alignment horizontal="right" vertical="top" wrapText="1"/>
    </xf>
    <xf numFmtId="4" fontId="8" fillId="0" borderId="0" xfId="2" applyNumberFormat="1" applyFont="1"/>
    <xf numFmtId="167" fontId="8" fillId="0" borderId="0" xfId="0" applyNumberFormat="1" applyFont="1"/>
    <xf numFmtId="3" fontId="8" fillId="0" borderId="0" xfId="0" applyNumberFormat="1" applyFont="1"/>
    <xf numFmtId="165" fontId="7" fillId="0" borderId="1" xfId="2" applyNumberFormat="1" applyFont="1" applyFill="1" applyBorder="1" applyAlignment="1">
      <alignment vertical="top" wrapText="1"/>
    </xf>
    <xf numFmtId="165" fontId="7" fillId="0" borderId="1" xfId="2" applyNumberFormat="1" applyFont="1" applyBorder="1" applyAlignment="1">
      <alignment horizontal="center" vertical="top" wrapText="1"/>
    </xf>
    <xf numFmtId="3" fontId="8" fillId="0" borderId="1" xfId="0" applyNumberFormat="1" applyFont="1" applyBorder="1" applyAlignment="1">
      <alignment horizontal="left" vertical="top" wrapText="1"/>
    </xf>
    <xf numFmtId="3" fontId="8" fillId="0" borderId="1" xfId="2" applyNumberFormat="1" applyFont="1" applyBorder="1" applyAlignment="1">
      <alignment vertical="top"/>
    </xf>
    <xf numFmtId="3" fontId="8" fillId="0" borderId="0" xfId="2" applyNumberFormat="1" applyFont="1" applyAlignment="1">
      <alignment vertical="top"/>
    </xf>
    <xf numFmtId="3" fontId="8" fillId="0" borderId="0" xfId="2" applyNumberFormat="1" applyFont="1" applyFill="1" applyAlignment="1">
      <alignment vertical="top"/>
    </xf>
    <xf numFmtId="3" fontId="8" fillId="0" borderId="1" xfId="2" applyNumberFormat="1" applyFont="1" applyFill="1" applyBorder="1" applyAlignment="1">
      <alignment vertical="top" wrapText="1"/>
    </xf>
    <xf numFmtId="3" fontId="7" fillId="0" borderId="1" xfId="2" applyNumberFormat="1" applyFont="1" applyBorder="1" applyAlignment="1">
      <alignment horizontal="right" vertical="top" wrapText="1"/>
    </xf>
    <xf numFmtId="0" fontId="8" fillId="0" borderId="0" xfId="0" quotePrefix="1" applyFont="1" applyAlignment="1">
      <alignment vertical="top"/>
    </xf>
    <xf numFmtId="3" fontId="8" fillId="0" borderId="1" xfId="2" applyNumberFormat="1" applyFont="1" applyBorder="1" applyAlignment="1">
      <alignment horizontal="right" vertical="top" wrapText="1"/>
    </xf>
    <xf numFmtId="165" fontId="7" fillId="4" borderId="1" xfId="2" applyNumberFormat="1" applyFont="1" applyFill="1" applyBorder="1" applyAlignment="1">
      <alignment horizontal="center" vertical="top" wrapText="1"/>
    </xf>
    <xf numFmtId="43" fontId="7" fillId="0" borderId="0" xfId="0" applyNumberFormat="1" applyFont="1" applyAlignment="1">
      <alignment horizontal="center" vertical="top"/>
    </xf>
    <xf numFmtId="3" fontId="8" fillId="0" borderId="0" xfId="0" applyNumberFormat="1" applyFont="1" applyAlignment="1">
      <alignment vertical="top"/>
    </xf>
    <xf numFmtId="43" fontId="8" fillId="0" borderId="1" xfId="2" applyFont="1" applyFill="1" applyBorder="1" applyAlignment="1">
      <alignment vertical="top" wrapText="1"/>
    </xf>
    <xf numFmtId="37" fontId="7" fillId="0" borderId="1" xfId="2" applyNumberFormat="1" applyFont="1" applyBorder="1" applyAlignment="1">
      <alignment horizontal="right" vertical="top" wrapText="1"/>
    </xf>
    <xf numFmtId="37" fontId="8" fillId="0" borderId="1" xfId="2" applyNumberFormat="1" applyFont="1" applyFill="1" applyBorder="1" applyAlignment="1">
      <alignment vertical="top" wrapText="1"/>
    </xf>
    <xf numFmtId="0" fontId="8" fillId="0" borderId="0" xfId="0" applyFont="1" applyAlignment="1">
      <alignment vertical="center" wrapText="1"/>
    </xf>
    <xf numFmtId="43" fontId="8" fillId="0" borderId="1" xfId="2" applyFont="1" applyFill="1" applyBorder="1" applyAlignment="1">
      <alignment vertical="center" wrapText="1"/>
    </xf>
    <xf numFmtId="165" fontId="7" fillId="0" borderId="0" xfId="2" applyNumberFormat="1" applyFont="1" applyAlignment="1">
      <alignment horizontal="right" vertical="top" wrapText="1"/>
    </xf>
    <xf numFmtId="4" fontId="8" fillId="0" borderId="0" xfId="2" applyNumberFormat="1" applyFont="1" applyAlignment="1" applyProtection="1">
      <alignment horizontal="right" vertical="top" wrapText="1"/>
      <protection locked="0"/>
    </xf>
    <xf numFmtId="168" fontId="7" fillId="0" borderId="1" xfId="2" applyNumberFormat="1" applyFont="1" applyBorder="1" applyAlignment="1">
      <alignment horizontal="right" vertical="top" wrapText="1"/>
    </xf>
    <xf numFmtId="168" fontId="8" fillId="0" borderId="1" xfId="2" applyNumberFormat="1" applyFont="1" applyBorder="1" applyAlignment="1">
      <alignment horizontal="right" vertical="top" wrapText="1"/>
    </xf>
    <xf numFmtId="168" fontId="8" fillId="0" borderId="1" xfId="2" applyNumberFormat="1" applyFont="1" applyBorder="1" applyAlignment="1">
      <alignment horizontal="left" vertical="top" wrapText="1"/>
    </xf>
    <xf numFmtId="168" fontId="8" fillId="0" borderId="0" xfId="2" applyNumberFormat="1" applyFont="1" applyAlignment="1">
      <alignment vertical="top" wrapText="1"/>
    </xf>
    <xf numFmtId="168" fontId="8" fillId="0" borderId="1" xfId="2" applyNumberFormat="1" applyFont="1" applyFill="1" applyBorder="1" applyAlignment="1">
      <alignment horizontal="right" vertical="top" wrapText="1"/>
    </xf>
    <xf numFmtId="168" fontId="8" fillId="0" borderId="0" xfId="2" applyNumberFormat="1" applyFont="1" applyAlignment="1">
      <alignment horizontal="right" vertical="top" wrapText="1"/>
    </xf>
    <xf numFmtId="168" fontId="7" fillId="0" borderId="0" xfId="2" applyNumberFormat="1" applyFont="1" applyAlignment="1">
      <alignment horizontal="right" vertical="top" wrapText="1"/>
    </xf>
    <xf numFmtId="165" fontId="7" fillId="0" borderId="0" xfId="2" applyNumberFormat="1" applyFont="1" applyAlignment="1">
      <alignment vertical="top" wrapText="1"/>
    </xf>
    <xf numFmtId="165" fontId="8" fillId="0" borderId="0" xfId="2" applyNumberFormat="1" applyFont="1" applyAlignment="1">
      <alignment vertical="top" wrapText="1"/>
    </xf>
    <xf numFmtId="4" fontId="8" fillId="0" borderId="0" xfId="0" applyNumberFormat="1" applyFont="1"/>
    <xf numFmtId="4" fontId="8" fillId="0" borderId="0" xfId="2" applyNumberFormat="1" applyFont="1" applyAlignment="1">
      <alignment vertical="top"/>
    </xf>
    <xf numFmtId="165" fontId="8" fillId="0" borderId="0" xfId="2" applyNumberFormat="1" applyFont="1" applyAlignment="1">
      <alignment vertical="top"/>
    </xf>
    <xf numFmtId="165" fontId="8" fillId="0" borderId="1" xfId="2" applyNumberFormat="1" applyFont="1" applyFill="1" applyBorder="1" applyAlignment="1">
      <alignment vertical="top"/>
    </xf>
    <xf numFmtId="165" fontId="8" fillId="0" borderId="0" xfId="2" applyNumberFormat="1" applyFont="1" applyFill="1" applyAlignment="1">
      <alignment vertical="top"/>
    </xf>
    <xf numFmtId="43" fontId="8" fillId="0" borderId="0" xfId="2" applyFont="1" applyAlignment="1">
      <alignment horizontal="right"/>
    </xf>
    <xf numFmtId="165" fontId="7" fillId="0" borderId="1" xfId="2" applyNumberFormat="1" applyFont="1" applyBorder="1" applyAlignment="1">
      <alignment vertical="top" wrapText="1"/>
    </xf>
    <xf numFmtId="0" fontId="8" fillId="6" borderId="1" xfId="0" applyFont="1" applyFill="1" applyBorder="1" applyAlignment="1">
      <alignment horizontal="left" vertical="top" wrapText="1"/>
    </xf>
    <xf numFmtId="165" fontId="8" fillId="6" borderId="1" xfId="2" applyNumberFormat="1" applyFont="1" applyFill="1" applyBorder="1" applyAlignment="1">
      <alignment horizontal="right" vertical="top" wrapText="1"/>
    </xf>
    <xf numFmtId="0" fontId="9" fillId="6" borderId="1" xfId="0" applyFont="1" applyFill="1" applyBorder="1" applyAlignment="1">
      <alignment horizontal="left" vertical="top" wrapText="1"/>
    </xf>
    <xf numFmtId="3" fontId="9" fillId="0" borderId="0" xfId="0" applyNumberFormat="1" applyFont="1" applyAlignment="1">
      <alignment horizontal="right" vertical="top" wrapText="1"/>
    </xf>
    <xf numFmtId="4" fontId="9" fillId="0" borderId="0" xfId="0" applyNumberFormat="1" applyFont="1" applyAlignment="1">
      <alignment horizontal="right" vertical="top"/>
    </xf>
    <xf numFmtId="168" fontId="9" fillId="0" borderId="0" xfId="2" applyNumberFormat="1" applyFont="1" applyAlignment="1">
      <alignment vertical="top"/>
    </xf>
    <xf numFmtId="3" fontId="26" fillId="0" borderId="0" xfId="0" applyNumberFormat="1" applyFont="1" applyAlignment="1">
      <alignment horizontal="right" vertical="center" wrapText="1"/>
    </xf>
    <xf numFmtId="0" fontId="8" fillId="6" borderId="1" xfId="1" applyFont="1" applyFill="1" applyBorder="1" applyAlignment="1">
      <alignment horizontal="left" vertical="top" wrapText="1"/>
    </xf>
    <xf numFmtId="165" fontId="9" fillId="0" borderId="0" xfId="2" applyNumberFormat="1" applyFont="1" applyFill="1" applyAlignment="1">
      <alignment vertical="top"/>
    </xf>
    <xf numFmtId="165" fontId="9" fillId="0" borderId="0" xfId="2" applyNumberFormat="1" applyFont="1" applyAlignment="1">
      <alignment horizontal="left" vertical="top" indent="1"/>
    </xf>
    <xf numFmtId="169" fontId="9" fillId="0" borderId="0" xfId="0" applyNumberFormat="1" applyFont="1" applyAlignment="1">
      <alignment horizontal="right" vertical="top" wrapText="1"/>
    </xf>
    <xf numFmtId="165" fontId="9" fillId="0" borderId="1" xfId="2" applyNumberFormat="1" applyFont="1" applyFill="1" applyBorder="1" applyAlignment="1">
      <alignment horizontal="right" vertical="top" wrapText="1"/>
    </xf>
    <xf numFmtId="0" fontId="9" fillId="6" borderId="1" xfId="0" applyFont="1" applyFill="1" applyBorder="1" applyAlignment="1">
      <alignment vertical="top" wrapText="1"/>
    </xf>
    <xf numFmtId="0" fontId="8" fillId="6" borderId="1" xfId="0" applyFont="1" applyFill="1" applyBorder="1" applyAlignment="1">
      <alignment vertical="top" wrapText="1"/>
    </xf>
    <xf numFmtId="0" fontId="8" fillId="0" borderId="0" xfId="3" applyFont="1" applyAlignment="1">
      <alignment vertical="top"/>
    </xf>
    <xf numFmtId="165" fontId="8" fillId="0" borderId="1" xfId="2" applyNumberFormat="1" applyFont="1" applyBorder="1" applyAlignment="1">
      <alignment vertical="top" wrapText="1"/>
    </xf>
    <xf numFmtId="164" fontId="8" fillId="0" borderId="0" xfId="0" applyNumberFormat="1" applyFont="1"/>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165" fontId="7" fillId="0" borderId="5" xfId="2" applyNumberFormat="1" applyFont="1" applyBorder="1" applyAlignment="1">
      <alignment horizontal="right" vertical="top" wrapText="1"/>
    </xf>
    <xf numFmtId="165" fontId="7" fillId="0" borderId="6" xfId="2" applyNumberFormat="1" applyFont="1" applyBorder="1" applyAlignment="1">
      <alignment horizontal="right" vertical="top" wrapText="1"/>
    </xf>
    <xf numFmtId="165" fontId="8" fillId="0" borderId="5" xfId="2" applyNumberFormat="1" applyFont="1" applyBorder="1" applyAlignment="1">
      <alignment horizontal="right" vertical="top" wrapText="1"/>
    </xf>
    <xf numFmtId="165" fontId="8" fillId="0" borderId="6" xfId="2" applyNumberFormat="1" applyFont="1" applyBorder="1" applyAlignment="1">
      <alignment horizontal="right" vertical="top" wrapText="1"/>
    </xf>
    <xf numFmtId="165" fontId="8" fillId="0" borderId="5" xfId="2" applyNumberFormat="1" applyFont="1" applyBorder="1" applyAlignment="1">
      <alignment horizontal="left" vertical="top" wrapText="1"/>
    </xf>
    <xf numFmtId="165" fontId="8" fillId="0" borderId="6" xfId="2" applyNumberFormat="1" applyFont="1" applyBorder="1" applyAlignment="1">
      <alignment horizontal="left" vertical="top" wrapText="1"/>
    </xf>
    <xf numFmtId="165" fontId="8" fillId="0" borderId="5" xfId="2" applyNumberFormat="1" applyFont="1" applyFill="1" applyBorder="1" applyAlignment="1">
      <alignment horizontal="right" vertical="top" wrapText="1"/>
    </xf>
    <xf numFmtId="165" fontId="8" fillId="0" borderId="6" xfId="2" applyNumberFormat="1" applyFont="1" applyFill="1" applyBorder="1" applyAlignment="1">
      <alignment horizontal="right" vertical="top" wrapText="1"/>
    </xf>
    <xf numFmtId="165" fontId="9" fillId="0" borderId="5" xfId="2" applyNumberFormat="1" applyFont="1" applyFill="1" applyBorder="1" applyAlignment="1">
      <alignment vertical="top" wrapText="1"/>
    </xf>
    <xf numFmtId="165" fontId="9" fillId="0" borderId="6" xfId="2" applyNumberFormat="1" applyFont="1" applyFill="1" applyBorder="1" applyAlignment="1">
      <alignment vertical="top" wrapText="1"/>
    </xf>
    <xf numFmtId="165" fontId="9" fillId="0" borderId="5" xfId="2" applyNumberFormat="1" applyFont="1" applyFill="1" applyBorder="1" applyAlignment="1">
      <alignment vertical="center" wrapText="1"/>
    </xf>
    <xf numFmtId="165" fontId="11" fillId="0" borderId="5" xfId="2" applyNumberFormat="1" applyFont="1" applyFill="1" applyBorder="1" applyAlignment="1">
      <alignment vertical="center" wrapText="1"/>
    </xf>
    <xf numFmtId="0" fontId="7" fillId="4" borderId="7" xfId="0" applyFont="1" applyFill="1" applyBorder="1" applyAlignment="1">
      <alignment horizontal="center" vertical="center" wrapText="1"/>
    </xf>
    <xf numFmtId="0" fontId="11" fillId="0" borderId="5" xfId="0" applyFont="1" applyBorder="1" applyAlignment="1">
      <alignment horizontal="left" vertical="top" wrapText="1"/>
    </xf>
    <xf numFmtId="0" fontId="8" fillId="0" borderId="6" xfId="0" applyFont="1" applyBorder="1" applyAlignment="1">
      <alignment horizontal="left" vertical="top" wrapText="1"/>
    </xf>
    <xf numFmtId="0" fontId="9" fillId="0" borderId="5" xfId="0" applyFont="1" applyBorder="1" applyAlignment="1">
      <alignment horizontal="left" vertical="top" wrapText="1"/>
    </xf>
    <xf numFmtId="0" fontId="8" fillId="0" borderId="5" xfId="0" applyFont="1" applyBorder="1" applyAlignment="1">
      <alignment horizontal="left" vertical="top" wrapText="1"/>
    </xf>
    <xf numFmtId="165" fontId="9" fillId="0" borderId="5" xfId="2" applyNumberFormat="1" applyFont="1" applyFill="1" applyBorder="1" applyAlignment="1">
      <alignment horizontal="right" vertical="top" wrapText="1"/>
    </xf>
    <xf numFmtId="165" fontId="9" fillId="0" borderId="6" xfId="2" applyNumberFormat="1" applyFont="1" applyFill="1" applyBorder="1" applyAlignment="1">
      <alignment horizontal="right" vertical="top" wrapText="1"/>
    </xf>
    <xf numFmtId="0" fontId="7" fillId="0" borderId="5" xfId="0" applyFont="1" applyBorder="1" applyAlignment="1">
      <alignment horizontal="left" vertical="top" wrapText="1"/>
    </xf>
    <xf numFmtId="0" fontId="8" fillId="0" borderId="6" xfId="0" applyFont="1" applyBorder="1" applyAlignment="1">
      <alignment vertical="top" wrapText="1"/>
    </xf>
    <xf numFmtId="0" fontId="9" fillId="0" borderId="6" xfId="0" applyFont="1" applyBorder="1" applyAlignment="1">
      <alignment vertical="top" wrapText="1"/>
    </xf>
    <xf numFmtId="165" fontId="7" fillId="0" borderId="5" xfId="2" applyNumberFormat="1" applyFont="1" applyBorder="1" applyAlignment="1">
      <alignment vertical="top" wrapText="1"/>
    </xf>
    <xf numFmtId="165" fontId="7" fillId="0" borderId="6" xfId="2" applyNumberFormat="1" applyFont="1" applyBorder="1" applyAlignment="1">
      <alignment vertical="top" wrapText="1"/>
    </xf>
    <xf numFmtId="0" fontId="9" fillId="0" borderId="5" xfId="0" applyFont="1" applyBorder="1" applyAlignment="1">
      <alignment vertical="top" wrapText="1"/>
    </xf>
    <xf numFmtId="0" fontId="8" fillId="0" borderId="1" xfId="3" applyFont="1" applyBorder="1" applyAlignment="1">
      <alignment vertical="top" wrapText="1"/>
    </xf>
    <xf numFmtId="3" fontId="9" fillId="0" borderId="1" xfId="2" applyNumberFormat="1" applyFont="1" applyFill="1" applyBorder="1" applyAlignment="1">
      <alignment horizontal="right" vertical="top"/>
    </xf>
    <xf numFmtId="15" fontId="9" fillId="0" borderId="0" xfId="0" applyNumberFormat="1" applyFont="1"/>
    <xf numFmtId="0" fontId="26" fillId="0" borderId="0" xfId="0" applyFont="1"/>
    <xf numFmtId="0" fontId="8" fillId="0" borderId="1" xfId="0" applyFont="1" applyBorder="1"/>
    <xf numFmtId="165" fontId="7" fillId="0" borderId="0" xfId="2" applyNumberFormat="1" applyFont="1" applyBorder="1" applyAlignment="1">
      <alignment horizontal="right" vertical="top" wrapText="1"/>
    </xf>
    <xf numFmtId="0" fontId="17" fillId="0" borderId="0" xfId="1" applyFont="1" applyFill="1"/>
    <xf numFmtId="0" fontId="26" fillId="0" borderId="0" xfId="0" applyFont="1" applyAlignment="1">
      <alignment wrapText="1"/>
    </xf>
    <xf numFmtId="4" fontId="32" fillId="0" borderId="0" xfId="2" applyNumberFormat="1" applyFont="1"/>
    <xf numFmtId="165" fontId="8" fillId="0" borderId="0" xfId="2" applyNumberFormat="1" applyFont="1" applyBorder="1" applyAlignment="1">
      <alignment horizontal="right" vertical="top" wrapText="1"/>
    </xf>
    <xf numFmtId="0" fontId="33" fillId="0" borderId="0" xfId="0" applyFont="1" applyAlignment="1">
      <alignment horizontal="left" vertical="top"/>
    </xf>
    <xf numFmtId="0" fontId="33" fillId="0" borderId="0" xfId="0" applyFont="1"/>
    <xf numFmtId="0" fontId="33" fillId="0" borderId="0" xfId="0" applyFont="1" applyAlignment="1">
      <alignment horizontal="center" vertical="center"/>
    </xf>
    <xf numFmtId="0" fontId="33" fillId="0" borderId="0" xfId="0" applyFont="1" applyAlignment="1">
      <alignment wrapText="1"/>
    </xf>
    <xf numFmtId="0" fontId="34" fillId="0" borderId="0" xfId="0" applyFont="1" applyAlignment="1">
      <alignment vertical="top" wrapText="1"/>
    </xf>
    <xf numFmtId="0" fontId="34" fillId="0" borderId="1" xfId="0" applyFont="1" applyBorder="1" applyAlignment="1">
      <alignment vertical="top" wrapText="1"/>
    </xf>
    <xf numFmtId="0" fontId="35" fillId="0" borderId="1" xfId="0" applyFont="1" applyBorder="1" applyAlignment="1">
      <alignment horizontal="left" vertical="top" wrapText="1"/>
    </xf>
    <xf numFmtId="0" fontId="26" fillId="0" borderId="0" xfId="0" quotePrefix="1" applyFont="1" applyAlignment="1">
      <alignment vertical="center"/>
    </xf>
    <xf numFmtId="0" fontId="33" fillId="0" borderId="0" xfId="0" applyFont="1" applyAlignment="1">
      <alignment vertical="top"/>
    </xf>
    <xf numFmtId="0" fontId="34" fillId="0" borderId="0" xfId="0" applyFont="1"/>
    <xf numFmtId="0" fontId="34" fillId="0" borderId="0" xfId="0" applyFont="1" applyAlignment="1">
      <alignment wrapText="1"/>
    </xf>
    <xf numFmtId="0" fontId="8" fillId="0" borderId="0" xfId="0" quotePrefix="1" applyFont="1" applyAlignment="1">
      <alignment horizontal="left"/>
    </xf>
    <xf numFmtId="3" fontId="8" fillId="0" borderId="1" xfId="0" applyNumberFormat="1" applyFont="1" applyBorder="1" applyAlignment="1">
      <alignment horizontal="right" vertical="top"/>
    </xf>
    <xf numFmtId="0" fontId="34" fillId="0" borderId="0" xfId="0" applyFont="1" applyAlignment="1">
      <alignment vertical="center"/>
    </xf>
    <xf numFmtId="0" fontId="14" fillId="0" borderId="0" xfId="0" applyFont="1" applyAlignment="1">
      <alignment wrapText="1"/>
    </xf>
    <xf numFmtId="165" fontId="9" fillId="0" borderId="1" xfId="2" applyNumberFormat="1" applyFont="1" applyBorder="1" applyAlignment="1">
      <alignment horizontal="right" vertical="top" wrapText="1"/>
    </xf>
    <xf numFmtId="165" fontId="8" fillId="0" borderId="1" xfId="2" applyNumberFormat="1" applyFont="1" applyBorder="1" applyAlignment="1">
      <alignment horizontal="right" vertical="top"/>
    </xf>
    <xf numFmtId="165" fontId="9" fillId="0" borderId="1" xfId="2" applyNumberFormat="1" applyFont="1" applyFill="1" applyBorder="1" applyAlignment="1">
      <alignment horizontal="right" vertical="top"/>
    </xf>
    <xf numFmtId="0" fontId="8" fillId="0" borderId="1" xfId="0" quotePrefix="1" applyFont="1" applyBorder="1"/>
    <xf numFmtId="0" fontId="9" fillId="0" borderId="0" xfId="0" applyFont="1" applyAlignment="1">
      <alignment horizontal="center" vertical="top"/>
    </xf>
    <xf numFmtId="0" fontId="14" fillId="0" borderId="0" xfId="0" quotePrefix="1" applyFont="1" applyAlignment="1">
      <alignment horizontal="left" wrapText="1"/>
    </xf>
    <xf numFmtId="0" fontId="36" fillId="0" borderId="0" xfId="0" applyFont="1" applyAlignment="1">
      <alignment vertical="center"/>
    </xf>
    <xf numFmtId="0" fontId="34" fillId="0" borderId="0" xfId="0" applyFont="1" applyAlignment="1">
      <alignment vertical="top"/>
    </xf>
    <xf numFmtId="0" fontId="37" fillId="0" borderId="0" xfId="0" applyFont="1" applyAlignment="1">
      <alignment vertical="top" wrapText="1"/>
    </xf>
    <xf numFmtId="165" fontId="9" fillId="0" borderId="1" xfId="2" applyNumberFormat="1" applyFont="1" applyBorder="1" applyAlignment="1">
      <alignment vertical="top" wrapText="1"/>
    </xf>
    <xf numFmtId="0" fontId="14" fillId="0" borderId="1" xfId="0" applyFont="1" applyBorder="1" applyAlignment="1">
      <alignment vertical="top" wrapText="1"/>
    </xf>
    <xf numFmtId="165" fontId="8" fillId="0" borderId="3" xfId="2" applyNumberFormat="1" applyFont="1" applyBorder="1" applyAlignment="1">
      <alignment horizontal="right" vertical="top" wrapText="1"/>
    </xf>
    <xf numFmtId="165" fontId="9" fillId="0" borderId="5" xfId="2" applyNumberFormat="1" applyFont="1" applyBorder="1" applyAlignment="1">
      <alignment vertical="top"/>
    </xf>
    <xf numFmtId="0" fontId="38" fillId="0" borderId="0" xfId="0" applyFont="1" applyAlignment="1">
      <alignment horizontal="center" vertical="center"/>
    </xf>
    <xf numFmtId="3" fontId="33" fillId="0" borderId="0" xfId="0" applyNumberFormat="1" applyFont="1" applyAlignment="1">
      <alignment horizontal="right" vertical="top"/>
    </xf>
    <xf numFmtId="4" fontId="33" fillId="0" borderId="0" xfId="0" applyNumberFormat="1" applyFont="1" applyAlignment="1">
      <alignment horizontal="right" vertical="top"/>
    </xf>
    <xf numFmtId="3" fontId="33" fillId="0" borderId="0" xfId="0" applyNumberFormat="1" applyFont="1" applyAlignment="1">
      <alignment vertical="top"/>
    </xf>
    <xf numFmtId="0" fontId="34" fillId="0" borderId="0" xfId="0" applyFont="1" applyAlignment="1">
      <alignment horizontal="left" vertical="top" wrapText="1"/>
    </xf>
    <xf numFmtId="165" fontId="9" fillId="0" borderId="0" xfId="2" applyNumberFormat="1" applyFont="1" applyFill="1" applyBorder="1" applyAlignment="1">
      <alignment horizontal="right" vertical="top" wrapText="1"/>
    </xf>
    <xf numFmtId="3" fontId="26" fillId="0" borderId="0" xfId="0" applyNumberFormat="1" applyFont="1" applyAlignment="1">
      <alignment horizontal="right" vertical="top" wrapText="1"/>
    </xf>
    <xf numFmtId="0" fontId="34" fillId="0" borderId="1" xfId="0" applyFont="1" applyBorder="1" applyAlignment="1">
      <alignment horizontal="left" vertical="top" wrapText="1"/>
    </xf>
    <xf numFmtId="0" fontId="7" fillId="0" borderId="0" xfId="0" applyFont="1" applyAlignment="1">
      <alignment horizontal="center" vertical="top"/>
    </xf>
    <xf numFmtId="0" fontId="39" fillId="0" borderId="1" xfId="0" applyFont="1" applyBorder="1" applyAlignment="1">
      <alignment vertical="top" wrapText="1"/>
    </xf>
    <xf numFmtId="0" fontId="8" fillId="0" borderId="1" xfId="0" applyFont="1" applyBorder="1" applyAlignment="1">
      <alignment horizontal="left" wrapText="1"/>
    </xf>
    <xf numFmtId="0" fontId="39" fillId="0" borderId="0" xfId="0" quotePrefix="1" applyFont="1"/>
    <xf numFmtId="165" fontId="7" fillId="0" borderId="3" xfId="2" applyNumberFormat="1" applyFont="1" applyBorder="1" applyAlignment="1">
      <alignment horizontal="right" vertical="top" wrapText="1"/>
    </xf>
    <xf numFmtId="0" fontId="40" fillId="0" borderId="1" xfId="0" applyFont="1" applyBorder="1" applyAlignment="1">
      <alignment vertical="top" wrapText="1"/>
    </xf>
    <xf numFmtId="165" fontId="7" fillId="0" borderId="8" xfId="2" applyNumberFormat="1" applyFont="1" applyBorder="1" applyAlignment="1">
      <alignment horizontal="right" vertical="top" wrapText="1"/>
    </xf>
    <xf numFmtId="165" fontId="9" fillId="0" borderId="9" xfId="2" applyNumberFormat="1" applyFont="1" applyBorder="1" applyAlignment="1">
      <alignment vertical="top"/>
    </xf>
    <xf numFmtId="165" fontId="9" fillId="0" borderId="0" xfId="2" applyNumberFormat="1" applyFont="1" applyBorder="1" applyAlignment="1">
      <alignment vertical="top"/>
    </xf>
    <xf numFmtId="165" fontId="8" fillId="0" borderId="6" xfId="2" applyNumberFormat="1" applyFont="1" applyBorder="1" applyAlignment="1">
      <alignment horizontal="right" vertical="top"/>
    </xf>
    <xf numFmtId="165" fontId="8" fillId="5" borderId="5" xfId="2" applyNumberFormat="1" applyFont="1" applyFill="1" applyBorder="1" applyAlignment="1">
      <alignment horizontal="right" vertical="top" wrapText="1"/>
    </xf>
    <xf numFmtId="165" fontId="8" fillId="5" borderId="6" xfId="2" applyNumberFormat="1" applyFont="1" applyFill="1" applyBorder="1" applyAlignment="1">
      <alignment horizontal="right" vertical="top" wrapText="1"/>
    </xf>
    <xf numFmtId="0" fontId="9" fillId="0" borderId="0" xfId="0" applyFont="1" applyAlignment="1">
      <alignment vertical="center"/>
    </xf>
    <xf numFmtId="0" fontId="41" fillId="0" borderId="0" xfId="0" applyFont="1"/>
    <xf numFmtId="0" fontId="8" fillId="0" borderId="0" xfId="0" applyFont="1" applyAlignment="1">
      <alignment horizontal="left" vertical="top" wrapText="1"/>
    </xf>
    <xf numFmtId="0" fontId="2" fillId="2" borderId="0" xfId="1" applyFont="1" applyFill="1" applyAlignment="1">
      <alignment horizontal="left" vertical="top"/>
    </xf>
    <xf numFmtId="0" fontId="2" fillId="2" borderId="0" xfId="0" applyFont="1" applyFill="1" applyAlignment="1">
      <alignment horizontal="left" vertical="top"/>
    </xf>
    <xf numFmtId="0" fontId="5" fillId="2" borderId="0" xfId="0" applyFont="1" applyFill="1" applyAlignment="1">
      <alignment horizontal="left" vertical="top"/>
    </xf>
    <xf numFmtId="0" fontId="45" fillId="0" borderId="0" xfId="1" applyFont="1"/>
    <xf numFmtId="0" fontId="42" fillId="4" borderId="0" xfId="1" applyFont="1" applyFill="1" applyAlignment="1">
      <alignment horizontal="left" vertical="top"/>
    </xf>
    <xf numFmtId="0" fontId="2" fillId="3" borderId="0" xfId="0" applyFont="1" applyFill="1" applyAlignment="1">
      <alignment horizontal="left" vertical="top"/>
    </xf>
    <xf numFmtId="0" fontId="42" fillId="7" borderId="0" xfId="1" applyFont="1" applyFill="1" applyAlignment="1">
      <alignment horizontal="left" vertical="top"/>
    </xf>
    <xf numFmtId="0" fontId="42" fillId="8" borderId="0" xfId="1" applyFont="1" applyFill="1" applyAlignment="1">
      <alignment horizontal="left" vertical="top"/>
    </xf>
    <xf numFmtId="0" fontId="46" fillId="9" borderId="0" xfId="0" applyFont="1" applyFill="1" applyAlignment="1">
      <alignment horizontal="left" vertical="top"/>
    </xf>
    <xf numFmtId="0" fontId="42" fillId="10" borderId="0" xfId="1" applyFont="1" applyFill="1" applyAlignment="1">
      <alignment horizontal="left" vertical="top"/>
    </xf>
    <xf numFmtId="0" fontId="2" fillId="11" borderId="0" xfId="0" applyFont="1" applyFill="1" applyAlignment="1">
      <alignment horizontal="left" vertical="top"/>
    </xf>
    <xf numFmtId="0" fontId="2" fillId="12" borderId="0" xfId="0" applyFont="1" applyFill="1" applyAlignment="1">
      <alignment horizontal="left" vertical="top"/>
    </xf>
    <xf numFmtId="0" fontId="42" fillId="13" borderId="0" xfId="1" applyFont="1" applyFill="1" applyAlignment="1">
      <alignment horizontal="left" vertical="top"/>
    </xf>
    <xf numFmtId="0" fontId="2" fillId="14" borderId="0" xfId="0" applyFont="1" applyFill="1" applyAlignment="1">
      <alignment horizontal="left" vertical="top"/>
    </xf>
    <xf numFmtId="0" fontId="48" fillId="0" borderId="0" xfId="0" applyFont="1" applyAlignment="1">
      <alignment horizontal="left" vertical="top"/>
    </xf>
    <xf numFmtId="0" fontId="26" fillId="0" borderId="0" xfId="0" applyFont="1" applyAlignment="1">
      <alignment vertical="center"/>
    </xf>
    <xf numFmtId="0" fontId="42" fillId="15" borderId="0" xfId="1" applyFont="1" applyFill="1" applyAlignment="1">
      <alignment horizontal="left" vertical="top"/>
    </xf>
    <xf numFmtId="0" fontId="2" fillId="3" borderId="0" xfId="0" applyFont="1" applyFill="1" applyAlignment="1">
      <alignment horizontal="left" vertical="center"/>
    </xf>
    <xf numFmtId="0" fontId="5" fillId="4" borderId="0" xfId="0" applyFont="1" applyFill="1" applyAlignment="1">
      <alignment horizontal="left" vertical="center"/>
    </xf>
    <xf numFmtId="0" fontId="5" fillId="2" borderId="0" xfId="0" applyFont="1" applyFill="1" applyAlignment="1">
      <alignment horizontal="left" vertical="center"/>
    </xf>
    <xf numFmtId="0" fontId="2" fillId="14" borderId="0" xfId="0" applyFont="1" applyFill="1" applyAlignment="1">
      <alignment horizontal="left" vertical="center"/>
    </xf>
    <xf numFmtId="0" fontId="5" fillId="7" borderId="0" xfId="0" applyFont="1" applyFill="1" applyAlignment="1">
      <alignment horizontal="left" vertical="center"/>
    </xf>
    <xf numFmtId="0" fontId="5" fillId="15" borderId="0" xfId="0" applyFont="1" applyFill="1" applyAlignment="1">
      <alignment vertical="center"/>
    </xf>
    <xf numFmtId="0" fontId="2" fillId="2" borderId="0" xfId="0" applyFont="1" applyFill="1" applyAlignment="1">
      <alignment horizontal="left" vertical="center"/>
    </xf>
    <xf numFmtId="0" fontId="5" fillId="8" borderId="0" xfId="0" applyFont="1" applyFill="1" applyAlignment="1">
      <alignment horizontal="left" vertical="center"/>
    </xf>
    <xf numFmtId="0" fontId="5" fillId="10" borderId="0" xfId="0" applyFont="1" applyFill="1" applyAlignment="1">
      <alignment horizontal="left" vertical="center"/>
    </xf>
    <xf numFmtId="0" fontId="5" fillId="13" borderId="0" xfId="0" applyFont="1" applyFill="1" applyAlignment="1">
      <alignment horizontal="left" vertical="center"/>
    </xf>
    <xf numFmtId="0" fontId="2" fillId="16" borderId="0" xfId="0" applyFont="1" applyFill="1" applyAlignment="1">
      <alignment vertical="center"/>
    </xf>
    <xf numFmtId="0" fontId="2" fillId="16" borderId="0" xfId="0" applyFont="1" applyFill="1" applyAlignment="1">
      <alignment vertical="top"/>
    </xf>
    <xf numFmtId="0" fontId="44" fillId="2" borderId="0" xfId="0" applyFont="1" applyFill="1" applyAlignment="1">
      <alignment vertical="center" wrapText="1"/>
    </xf>
    <xf numFmtId="165" fontId="11" fillId="0" borderId="1" xfId="2" applyNumberFormat="1" applyFont="1" applyFill="1" applyBorder="1" applyAlignment="1">
      <alignment horizontal="right" vertical="top" wrapText="1"/>
    </xf>
    <xf numFmtId="0" fontId="2" fillId="2" borderId="0" xfId="0" applyFont="1" applyFill="1" applyAlignment="1">
      <alignment horizontal="left" indent="1"/>
    </xf>
    <xf numFmtId="0" fontId="3" fillId="2" borderId="0" xfId="0" applyFont="1" applyFill="1" applyAlignment="1">
      <alignment horizontal="left" vertical="center" wrapText="1" indent="1"/>
    </xf>
    <xf numFmtId="0" fontId="50" fillId="2" borderId="0" xfId="0" applyFont="1" applyFill="1" applyAlignment="1">
      <alignment horizontal="left" vertical="top" indent="11"/>
    </xf>
    <xf numFmtId="0" fontId="5" fillId="17" borderId="0" xfId="0" applyFont="1" applyFill="1" applyAlignment="1">
      <alignment horizontal="left" vertical="center"/>
    </xf>
    <xf numFmtId="0" fontId="42" fillId="17" borderId="0" xfId="1" applyFont="1" applyFill="1" applyAlignment="1">
      <alignment horizontal="left" vertical="top"/>
    </xf>
    <xf numFmtId="0" fontId="2" fillId="18" borderId="0" xfId="0" applyFont="1" applyFill="1" applyAlignment="1">
      <alignment horizontal="left" vertical="top"/>
    </xf>
    <xf numFmtId="0" fontId="2" fillId="18" borderId="0" xfId="0" applyFont="1" applyFill="1" applyAlignment="1">
      <alignment vertical="top"/>
    </xf>
    <xf numFmtId="0" fontId="2" fillId="2" borderId="0" xfId="0" applyFont="1" applyFill="1" applyAlignment="1">
      <alignment horizontal="left" indent="1"/>
    </xf>
    <xf numFmtId="0" fontId="3" fillId="0" borderId="0" xfId="0" applyFont="1" applyAlignment="1">
      <alignment horizontal="left" wrapText="1" indent="1"/>
    </xf>
    <xf numFmtId="0" fontId="4" fillId="2" borderId="0" xfId="1" applyFont="1" applyFill="1" applyAlignment="1">
      <alignment horizontal="left" indent="1"/>
    </xf>
    <xf numFmtId="0" fontId="3" fillId="2" borderId="0" xfId="0" applyFont="1" applyFill="1" applyAlignment="1">
      <alignment horizontal="left" vertical="center" wrapText="1" indent="1"/>
    </xf>
    <xf numFmtId="0" fontId="3" fillId="2" borderId="0" xfId="0" applyFont="1" applyFill="1" applyAlignment="1">
      <alignment horizontal="left" wrapText="1" indent="1"/>
    </xf>
    <xf numFmtId="0" fontId="9" fillId="0" borderId="0" xfId="0" applyFont="1" applyAlignment="1">
      <alignment horizontal="left" vertical="top" wrapText="1"/>
    </xf>
    <xf numFmtId="0" fontId="8" fillId="0" borderId="0" xfId="3" applyFont="1" applyAlignment="1">
      <alignment horizontal="left" vertical="top" wrapText="1"/>
    </xf>
    <xf numFmtId="0" fontId="8" fillId="0" borderId="0" xfId="3" applyFont="1" applyBorder="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wrapText="1"/>
    </xf>
    <xf numFmtId="0" fontId="8" fillId="0" borderId="0" xfId="0" applyFont="1" applyAlignment="1">
      <alignment horizontal="left" wrapText="1"/>
    </xf>
    <xf numFmtId="0" fontId="8" fillId="0" borderId="0" xfId="0" quotePrefix="1" applyFont="1" applyAlignment="1">
      <alignment horizontal="left" wrapText="1"/>
    </xf>
    <xf numFmtId="0" fontId="34" fillId="0" borderId="0" xfId="0" applyFont="1" applyAlignment="1">
      <alignment horizontal="left" vertical="center" wrapText="1"/>
    </xf>
    <xf numFmtId="0" fontId="8" fillId="0" borderId="2" xfId="3" applyFont="1" applyBorder="1" applyAlignment="1">
      <alignment horizontal="left" vertical="top" wrapText="1"/>
    </xf>
    <xf numFmtId="0" fontId="20" fillId="0" borderId="0" xfId="0" applyFont="1" applyAlignment="1">
      <alignment horizontal="left" vertical="top" wrapText="1"/>
    </xf>
    <xf numFmtId="0" fontId="8" fillId="0" borderId="0" xfId="0" quotePrefix="1" applyFont="1" applyAlignment="1">
      <alignment horizontal="left" vertical="top" wrapText="1"/>
    </xf>
    <xf numFmtId="0" fontId="26" fillId="0" borderId="0" xfId="0" applyFont="1" applyAlignment="1">
      <alignment horizontal="left" vertical="center" wrapText="1"/>
    </xf>
    <xf numFmtId="0" fontId="19" fillId="0" borderId="0" xfId="0" applyFont="1" applyAlignment="1">
      <alignment horizontal="left" vertical="top" wrapText="1"/>
    </xf>
    <xf numFmtId="0" fontId="2" fillId="2" borderId="0" xfId="0" applyFont="1" applyFill="1" applyProtection="1"/>
  </cellXfs>
  <cellStyles count="4">
    <cellStyle name="Comma 2" xfId="2" xr:uid="{1593F208-C639-4080-AAC9-D204538F6BE3}"/>
    <cellStyle name="Hyperlink" xfId="1" builtinId="8"/>
    <cellStyle name="Normal" xfId="0" builtinId="0"/>
    <cellStyle name="Normal 2" xfId="3" xr:uid="{0BF5A660-51CC-4A28-BDEE-1F98E305C8B3}"/>
  </cellStyles>
  <dxfs count="0"/>
  <tableStyles count="0" defaultTableStyle="TableStyleMedium2" defaultPivotStyle="PivotStyleLight16"/>
  <colors>
    <mruColors>
      <color rgb="FF98E1F2"/>
      <color rgb="FF76D7EE"/>
      <color rgb="FF8FD9ED"/>
      <color rgb="FFBDEBFB"/>
      <color rgb="FFACE3F2"/>
      <color rgb="FF77D1E9"/>
      <color rgb="FFF5C7DB"/>
      <color rgb="FFED9BBE"/>
      <color rgb="FFF9CFEB"/>
      <color rgb="FFF3A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138723</xdr:colOff>
      <xdr:row>0</xdr:row>
      <xdr:rowOff>85969</xdr:rowOff>
    </xdr:from>
    <xdr:to>
      <xdr:col>1</xdr:col>
      <xdr:colOff>892723</xdr:colOff>
      <xdr:row>1</xdr:row>
      <xdr:rowOff>560569</xdr:rowOff>
    </xdr:to>
    <xdr:pic>
      <xdr:nvPicPr>
        <xdr:cNvPr id="2" name="Picture 1">
          <a:extLst>
            <a:ext uri="{FF2B5EF4-FFF2-40B4-BE49-F238E27FC236}">
              <a16:creationId xmlns:a16="http://schemas.microsoft.com/office/drawing/2014/main" id="{F3B96599-A627-4CF9-B494-4A2452B96183}"/>
            </a:ext>
          </a:extLst>
        </xdr:cNvPr>
        <xdr:cNvPicPr>
          <a:picLocks noChangeAspect="1"/>
        </xdr:cNvPicPr>
      </xdr:nvPicPr>
      <xdr:blipFill>
        <a:blip xmlns:r="http://schemas.openxmlformats.org/officeDocument/2006/relationships" r:embed="rId1"/>
        <a:stretch>
          <a:fillRect/>
        </a:stretch>
      </xdr:blipFill>
      <xdr:spPr>
        <a:xfrm>
          <a:off x="138723" y="85969"/>
          <a:ext cx="1008000" cy="100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adb.org/media/4831/download" TargetMode="External"/><Relationship Id="rId1" Type="http://schemas.openxmlformats.org/officeDocument/2006/relationships/hyperlink" Target="file://C:\Users\ge6\AppData\Local\Microsoft\_layouts\15\onedrive.aspx?id=\personal\gestrada_adb_org\Documents\aa_COVID%20paper\aa_Background%20Document\Background%20Document-testing.pdf&amp;parent=\personal\gestrada_adb_org\Documents\aa_COVID%20paper\aa_Background%20Document&amp;ct=1587211878653&amp;or=OWA-NT&amp;cid=617dbc23-2435-bb65-f637-34139b5f230f&amp;originalPath=aHR0cHM6Ly9hc2lhbmRldmJhbmstbXkuc2hhcmVwb2ludC5jb20vOmI6L2cvcGVyc29uYWwvZ2VzdHJhZGFfYWRiX29yZy9FWERpVE16cUN3dEhxWFBqc1g3bzhLOEI0V1hqckkzakFhRkpQaGRvcl9yeWx3P3J0aW1lPTJfeEltWkhqMTBn"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president.az/articles/3622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77B2-00BB-45DB-BCA4-677E818241FA}">
  <sheetPr codeName="Sheet1"/>
  <dimension ref="A1:H51"/>
  <sheetViews>
    <sheetView tabSelected="1" zoomScaleNormal="100" workbookViewId="0">
      <selection activeCell="J6" sqref="J6"/>
    </sheetView>
  </sheetViews>
  <sheetFormatPr defaultColWidth="8.77734375" defaultRowHeight="18.600000000000001" x14ac:dyDescent="0.3"/>
  <cols>
    <col min="1" max="1" width="3.6640625" style="1" customWidth="1"/>
    <col min="2" max="2" width="45.6640625" style="1" customWidth="1"/>
    <col min="3" max="4" width="3.6640625" style="1" customWidth="1"/>
    <col min="5" max="5" width="45.6640625" style="1" customWidth="1"/>
    <col min="6" max="7" width="3.6640625" style="1" customWidth="1"/>
    <col min="8" max="8" width="50.6640625" style="1" customWidth="1"/>
    <col min="9" max="16384" width="8.77734375" style="1"/>
  </cols>
  <sheetData>
    <row r="1" spans="1:8" ht="42" customHeight="1" x14ac:dyDescent="0.3"/>
    <row r="2" spans="1:8" ht="68.400000000000006" customHeight="1" x14ac:dyDescent="0.3">
      <c r="B2" s="354" t="s">
        <v>1043</v>
      </c>
      <c r="C2" s="350"/>
      <c r="D2" s="350"/>
      <c r="E2" s="350"/>
      <c r="F2" s="350"/>
      <c r="G2" s="350"/>
      <c r="H2" s="350"/>
    </row>
    <row r="3" spans="1:8" s="352" customFormat="1" ht="18.45" customHeight="1" x14ac:dyDescent="0.3">
      <c r="A3" s="362" t="s">
        <v>1087</v>
      </c>
      <c r="B3" s="362"/>
      <c r="C3" s="362"/>
      <c r="D3" s="362"/>
      <c r="E3" s="362"/>
      <c r="F3" s="362"/>
      <c r="G3" s="362"/>
      <c r="H3" s="362"/>
    </row>
    <row r="4" spans="1:8" ht="18.45" customHeight="1" x14ac:dyDescent="0.3">
      <c r="A4" s="362"/>
      <c r="B4" s="362"/>
      <c r="C4" s="362"/>
      <c r="D4" s="362"/>
      <c r="E4" s="362"/>
      <c r="F4" s="362"/>
      <c r="G4" s="362"/>
      <c r="H4" s="362"/>
    </row>
    <row r="5" spans="1:8" ht="18.45" customHeight="1" x14ac:dyDescent="0.3">
      <c r="A5" s="362"/>
      <c r="B5" s="362"/>
      <c r="C5" s="362"/>
      <c r="D5" s="362"/>
      <c r="E5" s="362"/>
      <c r="F5" s="362"/>
      <c r="G5" s="362"/>
      <c r="H5" s="362"/>
    </row>
    <row r="6" spans="1:8" ht="18.45" customHeight="1" x14ac:dyDescent="0.3">
      <c r="A6" s="362"/>
      <c r="B6" s="362"/>
      <c r="C6" s="362"/>
      <c r="D6" s="362"/>
      <c r="E6" s="362"/>
      <c r="F6" s="362"/>
      <c r="G6" s="362"/>
      <c r="H6" s="362"/>
    </row>
    <row r="7" spans="1:8" ht="18.45" customHeight="1" x14ac:dyDescent="0.3">
      <c r="A7" s="362"/>
      <c r="B7" s="362"/>
      <c r="C7" s="362"/>
      <c r="D7" s="362"/>
      <c r="E7" s="362"/>
      <c r="F7" s="362"/>
      <c r="G7" s="362"/>
      <c r="H7" s="362"/>
    </row>
    <row r="8" spans="1:8" ht="18.45" customHeight="1" x14ac:dyDescent="0.3">
      <c r="A8" s="362"/>
      <c r="B8" s="362"/>
      <c r="C8" s="362"/>
      <c r="D8" s="362"/>
      <c r="E8" s="362"/>
      <c r="F8" s="362"/>
      <c r="G8" s="362"/>
      <c r="H8" s="362"/>
    </row>
    <row r="9" spans="1:8" ht="18.45" customHeight="1" x14ac:dyDescent="0.3">
      <c r="A9" s="362"/>
      <c r="B9" s="362"/>
      <c r="C9" s="362"/>
      <c r="D9" s="362"/>
      <c r="E9" s="362"/>
      <c r="F9" s="362"/>
      <c r="G9" s="362"/>
      <c r="H9" s="362"/>
    </row>
    <row r="10" spans="1:8" ht="18.45" customHeight="1" x14ac:dyDescent="0.3">
      <c r="A10" s="362"/>
      <c r="B10" s="362"/>
      <c r="C10" s="362"/>
      <c r="D10" s="362"/>
      <c r="E10" s="362"/>
      <c r="F10" s="362"/>
      <c r="G10" s="362"/>
      <c r="H10" s="362"/>
    </row>
    <row r="11" spans="1:8" ht="18.45" customHeight="1" x14ac:dyDescent="0.3">
      <c r="A11" s="362"/>
      <c r="B11" s="362"/>
      <c r="C11" s="362"/>
      <c r="D11" s="362"/>
      <c r="E11" s="362"/>
      <c r="F11" s="362"/>
      <c r="G11" s="362"/>
      <c r="H11" s="362"/>
    </row>
    <row r="12" spans="1:8" ht="18.45" customHeight="1" x14ac:dyDescent="0.3">
      <c r="A12" s="362"/>
      <c r="B12" s="362"/>
      <c r="C12" s="362"/>
      <c r="D12" s="362"/>
      <c r="E12" s="362"/>
      <c r="F12" s="362"/>
      <c r="G12" s="362"/>
      <c r="H12" s="362"/>
    </row>
    <row r="13" spans="1:8" ht="41.4" customHeight="1" x14ac:dyDescent="0.3">
      <c r="A13" s="362"/>
      <c r="B13" s="362"/>
      <c r="C13" s="362"/>
      <c r="D13" s="362"/>
      <c r="E13" s="362"/>
      <c r="F13" s="362"/>
      <c r="G13" s="362"/>
      <c r="H13" s="362"/>
    </row>
    <row r="14" spans="1:8" ht="18.45" customHeight="1" x14ac:dyDescent="0.3">
      <c r="A14" s="353"/>
      <c r="B14" s="353"/>
      <c r="C14" s="353"/>
      <c r="D14" s="353"/>
      <c r="E14" s="353"/>
      <c r="F14" s="353"/>
      <c r="G14" s="353"/>
      <c r="H14" s="353"/>
    </row>
    <row r="15" spans="1:8" ht="37.799999999999997" customHeight="1" x14ac:dyDescent="0.3">
      <c r="A15" s="363" t="s">
        <v>1047</v>
      </c>
      <c r="B15" s="363"/>
      <c r="C15" s="363"/>
      <c r="D15" s="363"/>
      <c r="E15" s="363"/>
      <c r="F15" s="363"/>
      <c r="G15" s="363"/>
      <c r="H15" s="363"/>
    </row>
    <row r="16" spans="1:8" s="377" customFormat="1" ht="18.45" customHeight="1" x14ac:dyDescent="0.3"/>
    <row r="17" spans="1:8" ht="18.45" customHeight="1" x14ac:dyDescent="0.3">
      <c r="A17" s="359" t="s">
        <v>1049</v>
      </c>
      <c r="B17" s="359"/>
      <c r="C17" s="359"/>
      <c r="D17" s="359"/>
      <c r="E17" s="359"/>
      <c r="F17" s="359"/>
      <c r="G17" s="359"/>
      <c r="H17" s="359"/>
    </row>
    <row r="18" spans="1:8" ht="18.45" customHeight="1" x14ac:dyDescent="0.3"/>
    <row r="19" spans="1:8" x14ac:dyDescent="0.3">
      <c r="A19" s="361" t="s">
        <v>1044</v>
      </c>
      <c r="B19" s="361"/>
      <c r="C19" s="361"/>
      <c r="D19" s="361"/>
      <c r="E19" s="361"/>
      <c r="F19" s="361"/>
      <c r="G19" s="361"/>
      <c r="H19" s="361"/>
    </row>
    <row r="20" spans="1:8" s="377" customFormat="1" ht="18.45" customHeight="1" x14ac:dyDescent="0.3"/>
    <row r="21" spans="1:8" s="344" customFormat="1" ht="27" customHeight="1" x14ac:dyDescent="0.3">
      <c r="A21" s="338"/>
      <c r="B21" s="339" t="s">
        <v>0</v>
      </c>
      <c r="C21" s="340"/>
      <c r="D21" s="341"/>
      <c r="E21" s="342" t="s">
        <v>1</v>
      </c>
      <c r="F21" s="340"/>
      <c r="G21" s="348"/>
      <c r="H21" s="343" t="s">
        <v>1086</v>
      </c>
    </row>
    <row r="22" spans="1:8" s="322" customFormat="1" ht="25.05" customHeight="1" x14ac:dyDescent="0.3">
      <c r="A22" s="326"/>
      <c r="B22" s="325" t="s">
        <v>2</v>
      </c>
      <c r="C22" s="321"/>
      <c r="D22" s="334"/>
      <c r="E22" s="327" t="s">
        <v>3</v>
      </c>
      <c r="F22" s="321"/>
      <c r="G22" s="349"/>
      <c r="H22" s="337" t="s">
        <v>4</v>
      </c>
    </row>
    <row r="23" spans="1:8" s="322" customFormat="1" ht="25.05" customHeight="1" x14ac:dyDescent="0.3">
      <c r="A23" s="326"/>
      <c r="B23" s="325" t="s">
        <v>5</v>
      </c>
      <c r="D23" s="334"/>
      <c r="E23" s="327" t="s">
        <v>6</v>
      </c>
      <c r="G23" s="349"/>
      <c r="H23" s="337" t="s">
        <v>7</v>
      </c>
    </row>
    <row r="24" spans="1:8" s="322" customFormat="1" ht="25.05" customHeight="1" x14ac:dyDescent="0.3">
      <c r="A24" s="326"/>
      <c r="B24" s="325" t="s">
        <v>8</v>
      </c>
      <c r="D24" s="334"/>
      <c r="E24" s="327" t="s">
        <v>9</v>
      </c>
      <c r="G24" s="349"/>
      <c r="H24" s="337" t="s">
        <v>10</v>
      </c>
    </row>
    <row r="25" spans="1:8" s="322" customFormat="1" ht="25.05" customHeight="1" x14ac:dyDescent="0.3">
      <c r="A25" s="326"/>
      <c r="B25" s="325" t="s">
        <v>11</v>
      </c>
      <c r="C25" s="321"/>
      <c r="D25" s="334"/>
      <c r="E25" s="327" t="s">
        <v>12</v>
      </c>
      <c r="F25" s="321"/>
      <c r="G25" s="349"/>
      <c r="H25" s="337" t="s">
        <v>13</v>
      </c>
    </row>
    <row r="26" spans="1:8" s="322" customFormat="1" ht="25.05" customHeight="1" x14ac:dyDescent="0.3">
      <c r="A26" s="326"/>
      <c r="B26" s="325" t="s">
        <v>14</v>
      </c>
      <c r="D26" s="334"/>
      <c r="E26" s="327" t="s">
        <v>15</v>
      </c>
      <c r="G26" s="349"/>
      <c r="H26" s="337" t="s">
        <v>16</v>
      </c>
    </row>
    <row r="27" spans="1:8" s="322" customFormat="1" ht="25.05" customHeight="1" x14ac:dyDescent="0.3">
      <c r="A27" s="326"/>
      <c r="B27" s="325" t="s">
        <v>17</v>
      </c>
      <c r="D27" s="334"/>
      <c r="E27" s="327" t="s">
        <v>18</v>
      </c>
      <c r="G27" s="349"/>
      <c r="H27" s="337" t="s">
        <v>19</v>
      </c>
    </row>
    <row r="28" spans="1:8" s="322" customFormat="1" ht="25.05" customHeight="1" x14ac:dyDescent="0.3">
      <c r="A28" s="326"/>
      <c r="B28" s="325" t="s">
        <v>20</v>
      </c>
      <c r="D28" s="334"/>
      <c r="E28" s="327" t="s">
        <v>21</v>
      </c>
      <c r="G28" s="349"/>
      <c r="H28" s="337" t="s">
        <v>22</v>
      </c>
    </row>
    <row r="29" spans="1:8" s="322" customFormat="1" ht="25.05" customHeight="1" x14ac:dyDescent="0.3">
      <c r="A29" s="326"/>
      <c r="B29" s="325" t="s">
        <v>23</v>
      </c>
      <c r="D29" s="334"/>
      <c r="E29" s="327" t="s">
        <v>24</v>
      </c>
      <c r="G29" s="349"/>
      <c r="H29" s="337" t="s">
        <v>25</v>
      </c>
    </row>
    <row r="30" spans="1:8" s="322" customFormat="1" ht="25.05" customHeight="1" x14ac:dyDescent="0.3">
      <c r="A30" s="326"/>
      <c r="B30" s="325" t="s">
        <v>26</v>
      </c>
      <c r="D30" s="334"/>
      <c r="E30" s="327" t="s">
        <v>27</v>
      </c>
      <c r="G30" s="349"/>
      <c r="H30" s="337" t="s">
        <v>28</v>
      </c>
    </row>
    <row r="31" spans="1:8" s="322" customFormat="1" ht="25.05" customHeight="1" x14ac:dyDescent="0.3">
      <c r="A31" s="326"/>
      <c r="B31" s="325" t="s">
        <v>29</v>
      </c>
      <c r="D31" s="334"/>
      <c r="E31" s="327" t="s">
        <v>30</v>
      </c>
      <c r="G31" s="349"/>
      <c r="H31" s="337" t="s">
        <v>31</v>
      </c>
    </row>
    <row r="32" spans="1:8" s="322" customFormat="1" ht="25.05" customHeight="1" x14ac:dyDescent="0.3">
      <c r="A32" s="326"/>
      <c r="B32" s="325" t="s">
        <v>32</v>
      </c>
      <c r="G32" s="349"/>
      <c r="H32" s="337" t="s">
        <v>33</v>
      </c>
    </row>
    <row r="33" spans="1:8" s="322" customFormat="1" ht="25.05" customHeight="1" x14ac:dyDescent="0.3">
      <c r="D33" s="331"/>
      <c r="E33" s="346" t="s">
        <v>34</v>
      </c>
      <c r="G33" s="349"/>
      <c r="H33" s="337" t="s">
        <v>35</v>
      </c>
    </row>
    <row r="34" spans="1:8" s="322" customFormat="1" ht="25.05" customHeight="1" x14ac:dyDescent="0.3">
      <c r="A34" s="329"/>
      <c r="B34" s="345" t="s">
        <v>1042</v>
      </c>
      <c r="C34" s="323"/>
      <c r="D34" s="331"/>
      <c r="E34" s="330" t="s">
        <v>36</v>
      </c>
      <c r="F34" s="323"/>
      <c r="G34" s="349"/>
      <c r="H34" s="337" t="s">
        <v>354</v>
      </c>
    </row>
    <row r="35" spans="1:8" s="322" customFormat="1" ht="25.05" customHeight="1" x14ac:dyDescent="0.3">
      <c r="A35" s="329"/>
      <c r="B35" s="328" t="s">
        <v>37</v>
      </c>
      <c r="C35" s="321"/>
      <c r="D35" s="331"/>
      <c r="E35" s="330" t="s">
        <v>38</v>
      </c>
      <c r="F35" s="321"/>
      <c r="G35" s="349"/>
      <c r="H35" s="337" t="s">
        <v>39</v>
      </c>
    </row>
    <row r="36" spans="1:8" s="322" customFormat="1" ht="25.05" customHeight="1" x14ac:dyDescent="0.3">
      <c r="A36" s="329"/>
      <c r="B36" s="328" t="s">
        <v>40</v>
      </c>
      <c r="C36" s="321"/>
      <c r="D36" s="331"/>
      <c r="E36" s="330" t="s">
        <v>41</v>
      </c>
      <c r="F36" s="321"/>
      <c r="G36" s="349"/>
      <c r="H36" s="337" t="s">
        <v>42</v>
      </c>
    </row>
    <row r="37" spans="1:8" s="322" customFormat="1" ht="25.05" customHeight="1" x14ac:dyDescent="0.3">
      <c r="A37" s="329"/>
      <c r="B37" s="328" t="s">
        <v>43</v>
      </c>
      <c r="D37" s="331"/>
      <c r="E37" s="330" t="s">
        <v>44</v>
      </c>
      <c r="G37" s="349"/>
      <c r="H37" s="337" t="s">
        <v>45</v>
      </c>
    </row>
    <row r="38" spans="1:8" s="322" customFormat="1" ht="25.05" customHeight="1" x14ac:dyDescent="0.3">
      <c r="A38" s="329"/>
      <c r="B38" s="328" t="s">
        <v>46</v>
      </c>
      <c r="D38" s="331"/>
      <c r="E38" s="330" t="s">
        <v>47</v>
      </c>
      <c r="G38" s="349"/>
      <c r="H38" s="337" t="s">
        <v>48</v>
      </c>
    </row>
    <row r="39" spans="1:8" s="322" customFormat="1" ht="25.05" customHeight="1" x14ac:dyDescent="0.3">
      <c r="A39" s="329"/>
      <c r="B39" s="328" t="s">
        <v>49</v>
      </c>
      <c r="G39" s="349"/>
      <c r="H39" s="337" t="s">
        <v>50</v>
      </c>
    </row>
    <row r="40" spans="1:8" s="322" customFormat="1" ht="25.05" customHeight="1" x14ac:dyDescent="0.3">
      <c r="A40" s="329"/>
      <c r="B40" s="328" t="s">
        <v>51</v>
      </c>
      <c r="D40" s="332"/>
      <c r="E40" s="347" t="s">
        <v>52</v>
      </c>
      <c r="G40" s="349"/>
      <c r="H40" s="337" t="s">
        <v>53</v>
      </c>
    </row>
    <row r="41" spans="1:8" s="322" customFormat="1" ht="25.05" customHeight="1" x14ac:dyDescent="0.3">
      <c r="A41" s="329"/>
      <c r="B41" s="328" t="s">
        <v>54</v>
      </c>
      <c r="D41" s="332"/>
      <c r="E41" s="333" t="s">
        <v>55</v>
      </c>
      <c r="G41" s="349"/>
      <c r="H41" s="337" t="s">
        <v>56</v>
      </c>
    </row>
    <row r="42" spans="1:8" s="322" customFormat="1" ht="25.05" customHeight="1" x14ac:dyDescent="0.3">
      <c r="A42" s="329"/>
      <c r="B42" s="328" t="s">
        <v>57</v>
      </c>
      <c r="D42" s="332"/>
      <c r="E42" s="333" t="s">
        <v>58</v>
      </c>
      <c r="G42" s="349"/>
      <c r="H42" s="337" t="s">
        <v>59</v>
      </c>
    </row>
    <row r="43" spans="1:8" s="322" customFormat="1" ht="25.05" customHeight="1" x14ac:dyDescent="0.3">
      <c r="A43" s="329"/>
      <c r="B43" s="328" t="s">
        <v>60</v>
      </c>
      <c r="D43" s="332"/>
      <c r="E43" s="333" t="s">
        <v>61</v>
      </c>
      <c r="G43" s="349"/>
      <c r="H43" s="337" t="s">
        <v>62</v>
      </c>
    </row>
    <row r="44" spans="1:8" s="322" customFormat="1" ht="25.05" customHeight="1" x14ac:dyDescent="0.3">
      <c r="A44" s="329"/>
      <c r="B44" s="328" t="s">
        <v>63</v>
      </c>
      <c r="D44" s="332"/>
      <c r="E44" s="333" t="s">
        <v>64</v>
      </c>
    </row>
    <row r="45" spans="1:8" s="322" customFormat="1" ht="25.05" customHeight="1" x14ac:dyDescent="0.3">
      <c r="A45" s="329"/>
      <c r="B45" s="328" t="s">
        <v>66</v>
      </c>
      <c r="D45" s="332"/>
      <c r="E45" s="333" t="s">
        <v>67</v>
      </c>
      <c r="G45" s="357"/>
      <c r="H45" s="355" t="s">
        <v>1085</v>
      </c>
    </row>
    <row r="46" spans="1:8" s="322" customFormat="1" ht="25.05" customHeight="1" x14ac:dyDescent="0.3">
      <c r="A46" s="329"/>
      <c r="B46" s="328" t="s">
        <v>69</v>
      </c>
      <c r="D46" s="332"/>
      <c r="E46" s="333" t="s">
        <v>70</v>
      </c>
      <c r="G46" s="358"/>
      <c r="H46" s="356" t="s">
        <v>65</v>
      </c>
    </row>
    <row r="47" spans="1:8" s="322" customFormat="1" ht="25.05" customHeight="1" x14ac:dyDescent="0.3">
      <c r="A47" s="329"/>
      <c r="B47" s="328" t="s">
        <v>71</v>
      </c>
      <c r="G47" s="358"/>
      <c r="H47" s="356" t="s">
        <v>68</v>
      </c>
    </row>
    <row r="48" spans="1:8" s="322" customFormat="1" ht="25.05" customHeight="1" x14ac:dyDescent="0.3">
      <c r="A48" s="329"/>
      <c r="B48" s="328" t="s">
        <v>72</v>
      </c>
    </row>
    <row r="50" spans="1:8" x14ac:dyDescent="0.3">
      <c r="A50" s="360" t="s">
        <v>1050</v>
      </c>
      <c r="B50" s="360"/>
      <c r="C50" s="360"/>
      <c r="D50" s="360"/>
      <c r="E50" s="360"/>
      <c r="F50" s="360"/>
      <c r="G50" s="360"/>
      <c r="H50" s="360"/>
    </row>
    <row r="51" spans="1:8" x14ac:dyDescent="0.3">
      <c r="A51" s="360"/>
      <c r="B51" s="360"/>
      <c r="C51" s="360"/>
      <c r="D51" s="360"/>
      <c r="E51" s="360"/>
      <c r="F51" s="360"/>
      <c r="G51" s="360"/>
      <c r="H51" s="360"/>
    </row>
  </sheetData>
  <sheetProtection algorithmName="SHA-512" hashValue="d8mFBajujsTyvQaSzELkWlTxFG82ffaNZSUpvn1yGADBEvGcWczsS4Hs2abs5sSkDVAHDMCoGOAV+1CricDvAA==" saltValue="Dc0DL0POFuVrPG46qNfyQQ==" spinCount="100000" sheet="1" formatCells="0" formatColumns="0" formatRows="0" insertColumns="0" insertRows="0" deleteColumns="0" deleteRows="0" sort="0" autoFilter="0" pivotTables="0"/>
  <mergeCells count="5">
    <mergeCell ref="A17:H17"/>
    <mergeCell ref="A50:H51"/>
    <mergeCell ref="A19:H19"/>
    <mergeCell ref="A3:H13"/>
    <mergeCell ref="A15:H15"/>
  </mergeCells>
  <hyperlinks>
    <hyperlink ref="A19" r:id="rId1" xr:uid="{890E8BB0-AE0B-4D88-A6A0-0F91801D6F55}"/>
    <hyperlink ref="B23" location="CAM!A1" display="Cambodia" xr:uid="{46374D88-9827-4838-9F4A-FAA363BB086B}"/>
    <hyperlink ref="E31" location="UZB!A1" display="Uzbekistan" xr:uid="{EB730A75-5BF8-4056-9231-621AAA56B6AD}"/>
    <hyperlink ref="B41" location="NIU!A1" display="Niue" xr:uid="{003FC71D-229F-441D-A2A4-2B72ABED7113}"/>
    <hyperlink ref="B47" location="TUV!A1" display="Tuvalu" xr:uid="{8420350B-D315-4947-A048-AB5338A28811}"/>
    <hyperlink ref="B48" location="VAN!A1" display="Vanuatu" xr:uid="{722D9964-8FF8-4CEF-B281-90267416A606}"/>
    <hyperlink ref="E23" location="ARM!A1" display="Armenia" xr:uid="{6FF5B0E0-5CEE-47B4-BD2C-91619B3ADBDE}"/>
    <hyperlink ref="E24" location="AZE!A1" display="Azerbaijan" xr:uid="{08930753-6661-4781-A2D2-61E742E72EC9}"/>
    <hyperlink ref="E22" location="AFG!A1" display="Afghanistan" xr:uid="{9D23334E-CDC1-425F-9266-2FFAA3D4D7A0}"/>
    <hyperlink ref="B40" location="NAU!A1" display="Nauru" xr:uid="{3E32A1C7-CC87-45A6-A07D-A6787A86F4E4}"/>
    <hyperlink ref="E45" location="NEP!A1" display="Nepal" xr:uid="{7DD8104F-D186-48D0-892F-3E7B03AC3688}"/>
    <hyperlink ref="E28" location="PAK!A1" display="Pakistan" xr:uid="{819B3986-1577-4D36-BF8D-F0CAA11828E9}"/>
    <hyperlink ref="B43" location="PNG!A1" display="Papua New Guinea" xr:uid="{7A45F7C1-B48F-4E1E-80D3-68BB905E2B04}"/>
    <hyperlink ref="B28" location="PHI!A1" display="Philippines" xr:uid="{708354C2-C421-4D7E-A5E8-424CB7FA1D75}"/>
    <hyperlink ref="E37" location="KOR!A1" display="Republic of Korea " xr:uid="{3CE1F88C-D239-48E3-9894-B171644A097B}"/>
    <hyperlink ref="E34" location="HKG!A1" display="Hong Kong, China" xr:uid="{938288A4-9065-41F1-8DC2-2FF6ED0111C2}"/>
    <hyperlink ref="B24" location="INO!A1" display="Indonesia" xr:uid="{657F77AE-FBCA-4C53-B19C-A99BFDE36A04}"/>
    <hyperlink ref="B37" location="FIJ!A1" display="Fiji" xr:uid="{CF67CDC2-05DA-4B75-8C83-88B59C254E6F}"/>
    <hyperlink ref="E25" location="GEO!A1" display="Georgia" xr:uid="{F6C82CEB-B4E2-4E5D-B215-FE162B7B5A75}"/>
    <hyperlink ref="B25" location="LAO!A1" display="Lao People’s Democratic Republic" xr:uid="{2B75FC97-20AB-49BF-8654-2A7CA9131112}"/>
    <hyperlink ref="B26" location="MAL!A1" display="Malaysia" xr:uid="{75C652B3-C66C-4F66-98F8-9F133BA6ACC9}"/>
    <hyperlink ref="B27" location="MYA!A1" display="Myanmar" xr:uid="{3041A93A-9C8C-412D-8FBA-328A7E865394}"/>
    <hyperlink ref="B35" location="COO!A1" display="Cook Islands" xr:uid="{C80D4A94-08BE-4369-842F-423EB388A1A7}"/>
    <hyperlink ref="E26" location="KAZ!A1" display="Kazakhstan" xr:uid="{62A29E4E-8204-402D-B435-0DEAFF30EAF3}"/>
    <hyperlink ref="B38" location="KIR!A1" display="Kiribati" xr:uid="{F6AD3886-B76A-4690-BEE3-7FD1F9FD9C13}"/>
    <hyperlink ref="E44" location="MLD!A1" display="Maldives" xr:uid="{FC390AB3-9DD0-4350-9D5F-E56C6585B4BB}"/>
    <hyperlink ref="E35" location="MON!A1" display="Mongolia" xr:uid="{585FC8A0-0D10-4804-BC68-14F5E20EA320}"/>
    <hyperlink ref="E41" location="BAN!A1" display="Bangladesh" xr:uid="{642686B5-0A86-4E70-8300-4AF1B8D84047}"/>
    <hyperlink ref="B22" location="BRU!A1" display="Brunei Darussalam" xr:uid="{5CF039A9-5697-4ECD-B396-8F7635EF7AB2}"/>
    <hyperlink ref="E27" location="KGZ!A1" display="Kyrgyz Republic" xr:uid="{45E1F218-67CF-426C-8BC7-B6F251BD23C3}"/>
    <hyperlink ref="B36" location="FSM!A1" display="Federated States of Micronesia" xr:uid="{B265DB22-582D-4E6F-A1FA-E15B72C1AF66}"/>
    <hyperlink ref="B39" location="RMI!A1" display="Marshall Islands" xr:uid="{10E50DD6-60B9-42F8-AC04-774C9975E278}"/>
    <hyperlink ref="B42" location="PAL!A1" display="Palau" xr:uid="{0691B55B-93F1-42CB-9603-3BBC96C0CB05}"/>
    <hyperlink ref="E43" location="IND!A1" display="India" xr:uid="{7F256421-A413-4C3A-868C-F48E80992A8E}"/>
    <hyperlink ref="B44" location="SAM!A1" display="Samoa" xr:uid="{2050EA81-5F13-4D24-B467-ADF0FB01B58E}"/>
    <hyperlink ref="B29" location="SIN!A1" display="Singapore" xr:uid="{82919EAC-24DF-4F91-AE95-B97D045C5C59}"/>
    <hyperlink ref="B45" location="SOL!A1" display="Solomon Islands" xr:uid="{50918659-DADB-47C8-96A2-C1FF3860680E}"/>
    <hyperlink ref="E46" location="SRI!A1" display="Sri Lanka" xr:uid="{5D5A9CFF-6077-41FC-8D0D-5AB212336122}"/>
    <hyperlink ref="E29" location="'TAJ '!A1" display="Tajikistan" xr:uid="{6C62D83D-25E9-4EA6-9F43-037791627CAA}"/>
    <hyperlink ref="E38" location="'TAP '!A1" display="Taipei,China" xr:uid="{7EB970E6-BD45-47D3-833F-23EA942D3E34}"/>
    <hyperlink ref="B30" location="THA!A1" display="Thailand" xr:uid="{F3FD08C9-0DF0-42AA-8D53-6F0A0449E54F}"/>
    <hyperlink ref="B31" location="'TIM '!A1" display="Timor-Leste" xr:uid="{CA14A40F-CF3E-44D3-9467-E252EBC9E820}"/>
    <hyperlink ref="B32" location="VIE!A1" display="Viet Nam" xr:uid="{755CD738-7884-4809-913E-AAEBB419603C}"/>
    <hyperlink ref="E30" location="TKM!A1" display="Turkmenistan" xr:uid="{47CA4290-F920-4D3E-9A41-6214AF2F4184}"/>
    <hyperlink ref="B46" location="'TON '!A1" display="Tonga" xr:uid="{F6AB644B-2AAA-4DB9-B9DB-B47615593099}"/>
    <hyperlink ref="E36" location="PRC!A1" display="People’s Republic of China " xr:uid="{6F4A8370-C394-4472-937F-D169FFE01852}"/>
    <hyperlink ref="E42" location="BHU!A1" display="Bhutan" xr:uid="{05B5DE94-1B9B-4A30-94B5-9062F3E18F12}"/>
    <hyperlink ref="H25" location="CAN!A1" display="Canada" xr:uid="{A02B9AD4-6DAB-4974-9048-BA8DFF033860}"/>
    <hyperlink ref="H22" location="AUS!A1" display="Australia" xr:uid="{1E878242-1AA6-497C-B22E-363CDE951DE7}"/>
    <hyperlink ref="H35" location="NZL!A1" display="New Zealand" xr:uid="{E4C49384-E609-4D42-9BC8-C0E54FA9C517}"/>
    <hyperlink ref="H47" location="EU!A1" display="European Union" xr:uid="{5A1AD49E-5BCE-4D50-937F-86DD7AB462B1}"/>
    <hyperlink ref="H46" location="ECB!A1" display="European Central Bank" xr:uid="{7CC7251A-D8FD-4441-8129-7735F8EE18EB}"/>
    <hyperlink ref="H23" location="AUT!A1" display="Austria" xr:uid="{A3902C3E-4E8A-4B86-A02B-69A7D2ED2BC0}"/>
    <hyperlink ref="H24" location="BEL!A1" display="Belgium" xr:uid="{BEF280E3-FC1A-4CDE-A993-47D92C0274E6}"/>
    <hyperlink ref="H26" location="DEN!A1" display="Denmark" xr:uid="{9B0BA3FF-4C29-4518-B6FC-5D0F6B2A3E9E}"/>
    <hyperlink ref="H27" location="FIN!A1" display="Finland" xr:uid="{AB53AA86-544D-40A6-95B3-6D216E528AEC}"/>
    <hyperlink ref="H28" location="FRA!A1" display="France" xr:uid="{EF56A79A-9E98-4381-A826-16D20716368E}"/>
    <hyperlink ref="H30" location="IRE!A1" display="Ireland" xr:uid="{9ABEAADB-1ECF-4E6D-AA57-CDD2F757F320}"/>
    <hyperlink ref="H31" location="ITA!A1" display="Italy" xr:uid="{683DB980-9F30-4126-8477-76C25153CC64}"/>
    <hyperlink ref="H34" location="NET!A1" display="Netherlands" xr:uid="{EF59CF42-D0C2-470F-98EF-61A2B0EECADD}"/>
    <hyperlink ref="H33" location="LUX!A1" display="Luxembourg" xr:uid="{0897B8DF-8323-439D-89DE-3963A246FF16}"/>
    <hyperlink ref="H36" location="NOR!A1" display="Norway" xr:uid="{9996DF5A-B102-47A3-BC47-27924FDE2D93}"/>
    <hyperlink ref="H37" location="POR!A1" display="Portugal" xr:uid="{97898285-1056-483A-B5C9-4FE9AAB81E0F}"/>
    <hyperlink ref="H39" location="SWE!A1" display="Sweden" xr:uid="{C2E62A21-3476-4ABC-BE5D-A416F3A3E5A6}"/>
    <hyperlink ref="H40" location="SWI!A1" display="Switzerland" xr:uid="{3C2F9B7A-E777-4598-85FE-73FC029E5B3F}"/>
    <hyperlink ref="H42" location="UKG!A1" display="United Kingdom" xr:uid="{C3A3C068-EC1C-414B-B265-B69F3A89E9D1}"/>
    <hyperlink ref="H29" location="GER!A1" display="Germany" xr:uid="{BC2D4E6C-934D-467D-BB2F-BDDDC1474D6C}"/>
    <hyperlink ref="H32" location="JPN!A1" display="Japan" xr:uid="{0136B097-3734-4C2A-A181-17703D532C56}"/>
    <hyperlink ref="H38" location="SPA!A1" display="Spain" xr:uid="{714C9CC8-D7BB-43B1-959C-B61895ACEFC4}"/>
    <hyperlink ref="H41" location="TUR!A1" display="Turkey" xr:uid="{B12ED67E-6D37-4C73-AB6E-BFB9EF739F05}"/>
    <hyperlink ref="H43" location="USA!A1" display="United States" xr:uid="{357A6E20-24A4-40FF-8838-EC15CE82C54E}"/>
    <hyperlink ref="A19:H19" r:id="rId2" display="ADB COVID-19 Policy Database Background Document Version 1, April 20, 2020" xr:uid="{9808ECA0-6AE4-40ED-8879-3E2F7548E06E}"/>
  </hyperlinks>
  <pageMargins left="0.7" right="0.7" top="0.75" bottom="0.75" header="0.3" footer="0.3"/>
  <pageSetup orientation="portrait" verticalDpi="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287F-BD28-4319-878F-C9624204E13B}">
  <sheetPr codeName="Sheet10">
    <tabColor theme="7" tint="0.79998168889431442"/>
  </sheetPr>
  <dimension ref="A1:G61"/>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2" width="27.5546875" style="38" customWidth="1"/>
    <col min="3" max="3" width="27.6640625" style="38" customWidth="1"/>
    <col min="4" max="4" width="95.6640625" style="37" customWidth="1"/>
    <col min="5" max="5" width="40.6640625" style="38" customWidth="1"/>
    <col min="6" max="7" width="8.6640625" style="37"/>
    <col min="8" max="16384" width="8.6640625" style="18"/>
  </cols>
  <sheetData>
    <row r="1" spans="1:7" s="5" customFormat="1" ht="17.399999999999999" x14ac:dyDescent="0.25">
      <c r="A1" s="112" t="s">
        <v>26</v>
      </c>
      <c r="B1" s="2" t="s">
        <v>73</v>
      </c>
      <c r="C1" s="84">
        <v>3.9364219999999999</v>
      </c>
      <c r="D1" s="4" t="s">
        <v>1045</v>
      </c>
      <c r="F1" s="7"/>
      <c r="G1" s="7"/>
    </row>
    <row r="2" spans="1:7" s="5" customFormat="1" x14ac:dyDescent="0.25">
      <c r="A2" s="324" t="s">
        <v>74</v>
      </c>
      <c r="C2" s="84">
        <v>6.7695500000000006E-2</v>
      </c>
      <c r="D2" s="4" t="s">
        <v>1046</v>
      </c>
      <c r="F2" s="7"/>
      <c r="G2" s="7"/>
    </row>
    <row r="3" spans="1:7" x14ac:dyDescent="0.25">
      <c r="A3" s="154"/>
      <c r="B3" s="222"/>
      <c r="C3" s="142"/>
    </row>
    <row r="4" spans="1:7" s="10" customFormat="1" x14ac:dyDescent="0.3">
      <c r="A4" s="8" t="s">
        <v>75</v>
      </c>
      <c r="B4" s="9" t="s">
        <v>941</v>
      </c>
      <c r="C4" s="9" t="s">
        <v>77</v>
      </c>
      <c r="D4" s="9" t="s">
        <v>78</v>
      </c>
      <c r="E4" s="8" t="s">
        <v>79</v>
      </c>
      <c r="F4" s="62"/>
      <c r="G4" s="62"/>
    </row>
    <row r="5" spans="1:7" s="15" customFormat="1" ht="60" x14ac:dyDescent="0.25">
      <c r="A5" s="11" t="s">
        <v>80</v>
      </c>
      <c r="B5" s="12">
        <f>SUM(B6:B7)</f>
        <v>0</v>
      </c>
      <c r="C5" s="12">
        <f>SUM(C6:C7)</f>
        <v>0</v>
      </c>
      <c r="D5" s="13"/>
      <c r="E5" s="14"/>
      <c r="F5" s="63"/>
      <c r="G5" s="63"/>
    </row>
    <row r="6" spans="1:7" s="15" customFormat="1" ht="45" x14ac:dyDescent="0.25">
      <c r="A6" s="14" t="s">
        <v>81</v>
      </c>
      <c r="B6" s="16"/>
      <c r="C6" s="294"/>
      <c r="D6" s="33"/>
      <c r="E6" s="260"/>
      <c r="F6" s="63"/>
      <c r="G6" s="63"/>
    </row>
    <row r="7" spans="1:7" s="15" customFormat="1" ht="90" x14ac:dyDescent="0.25">
      <c r="A7" s="14" t="s">
        <v>84</v>
      </c>
      <c r="B7" s="239"/>
      <c r="C7" s="17"/>
      <c r="D7" s="24" t="s">
        <v>942</v>
      </c>
      <c r="E7" s="260" t="s">
        <v>846</v>
      </c>
      <c r="F7" s="63"/>
      <c r="G7" s="63"/>
    </row>
    <row r="8" spans="1:7" ht="30" x14ac:dyDescent="0.25">
      <c r="A8" s="11" t="s">
        <v>87</v>
      </c>
      <c r="B8" s="12">
        <f>SUM(B9:B11)</f>
        <v>850000000000</v>
      </c>
      <c r="C8" s="12">
        <f>SUM(C9:C11)</f>
        <v>26473340496.70784</v>
      </c>
      <c r="D8" s="13"/>
      <c r="E8" s="14"/>
    </row>
    <row r="9" spans="1:7" ht="60" x14ac:dyDescent="0.25">
      <c r="A9" s="14" t="s">
        <v>88</v>
      </c>
      <c r="B9" s="16">
        <f>0.5*10^12</f>
        <v>500000000000</v>
      </c>
      <c r="C9" s="16">
        <f>B9/B36</f>
        <v>15572553233.357553</v>
      </c>
      <c r="D9" s="13" t="s">
        <v>943</v>
      </c>
      <c r="E9" s="260" t="s">
        <v>846</v>
      </c>
    </row>
    <row r="10" spans="1:7" ht="60" x14ac:dyDescent="0.25">
      <c r="A10" s="14" t="s">
        <v>90</v>
      </c>
      <c r="B10" s="16"/>
      <c r="C10" s="16"/>
      <c r="D10" s="13" t="s">
        <v>944</v>
      </c>
      <c r="E10" s="260" t="s">
        <v>846</v>
      </c>
    </row>
    <row r="11" spans="1:7" ht="45.6" customHeight="1" x14ac:dyDescent="0.25">
      <c r="A11" s="14" t="s">
        <v>92</v>
      </c>
      <c r="B11" s="16">
        <f>(0.5*10^12)*0.7</f>
        <v>350000000000</v>
      </c>
      <c r="C11" s="16">
        <f>B11/B36</f>
        <v>10900787263.350286</v>
      </c>
      <c r="D11" s="13" t="s">
        <v>945</v>
      </c>
      <c r="E11" s="260" t="s">
        <v>846</v>
      </c>
    </row>
    <row r="12" spans="1:7" ht="45" x14ac:dyDescent="0.25">
      <c r="A12" s="11" t="s">
        <v>93</v>
      </c>
      <c r="B12" s="12">
        <f>SUM(B13:B14)</f>
        <v>400000000000</v>
      </c>
      <c r="C12" s="12">
        <f>SUM(C13:C14)</f>
        <v>12458042586.686043</v>
      </c>
      <c r="D12" s="13"/>
      <c r="E12" s="14"/>
    </row>
    <row r="13" spans="1:7" ht="63.6" customHeight="1" x14ac:dyDescent="0.25">
      <c r="A13" s="14" t="s">
        <v>94</v>
      </c>
      <c r="B13" s="16">
        <f>0.4*10^12</f>
        <v>400000000000</v>
      </c>
      <c r="C13" s="16">
        <f>B13/B36</f>
        <v>12458042586.686043</v>
      </c>
      <c r="D13" s="33" t="s">
        <v>946</v>
      </c>
      <c r="E13" s="260" t="s">
        <v>846</v>
      </c>
    </row>
    <row r="14" spans="1:7" ht="64.2" customHeight="1" x14ac:dyDescent="0.25">
      <c r="A14" s="14" t="s">
        <v>96</v>
      </c>
      <c r="B14" s="16"/>
      <c r="C14" s="16"/>
      <c r="D14" s="13" t="s">
        <v>947</v>
      </c>
      <c r="E14" s="260" t="s">
        <v>846</v>
      </c>
    </row>
    <row r="15" spans="1:7" ht="45" x14ac:dyDescent="0.25">
      <c r="A15" s="11" t="s">
        <v>97</v>
      </c>
      <c r="B15" s="12">
        <v>0</v>
      </c>
      <c r="C15" s="12">
        <v>0</v>
      </c>
      <c r="D15" s="13"/>
      <c r="E15" s="14"/>
    </row>
    <row r="16" spans="1:7" ht="112.2" customHeight="1" x14ac:dyDescent="0.25">
      <c r="A16" s="11" t="s">
        <v>98</v>
      </c>
      <c r="B16" s="12">
        <f>1*10^12</f>
        <v>1000000000000</v>
      </c>
      <c r="C16" s="12">
        <f>B16/B36</f>
        <v>31145106466.715107</v>
      </c>
      <c r="D16" s="13" t="s">
        <v>948</v>
      </c>
      <c r="E16" s="260" t="s">
        <v>846</v>
      </c>
    </row>
    <row r="17" spans="1:5" ht="45" x14ac:dyDescent="0.25">
      <c r="A17" s="13" t="s">
        <v>99</v>
      </c>
      <c r="B17" s="85"/>
      <c r="C17" s="23"/>
      <c r="D17" s="83" t="s">
        <v>949</v>
      </c>
      <c r="E17" s="260" t="s">
        <v>846</v>
      </c>
    </row>
    <row r="18" spans="1:5" ht="85.8" customHeight="1" x14ac:dyDescent="0.25">
      <c r="A18" s="13" t="s">
        <v>101</v>
      </c>
      <c r="B18" s="23"/>
      <c r="C18" s="23"/>
      <c r="D18" s="83" t="s">
        <v>950</v>
      </c>
      <c r="E18" s="260" t="s">
        <v>846</v>
      </c>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E22" s="14"/>
    </row>
    <row r="23" spans="1:5" x14ac:dyDescent="0.25">
      <c r="A23" s="13" t="s">
        <v>109</v>
      </c>
      <c r="B23" s="16"/>
      <c r="C23" s="16"/>
      <c r="D23" s="13"/>
      <c r="E23" s="14"/>
    </row>
    <row r="24" spans="1:5" ht="46.2" customHeight="1" x14ac:dyDescent="0.25">
      <c r="A24" s="22" t="s">
        <v>110</v>
      </c>
      <c r="B24" s="23"/>
      <c r="C24" s="23"/>
      <c r="D24" s="33" t="s">
        <v>951</v>
      </c>
      <c r="E24" s="260" t="s">
        <v>846</v>
      </c>
    </row>
    <row r="25" spans="1:5" x14ac:dyDescent="0.25">
      <c r="A25" s="13" t="s">
        <v>109</v>
      </c>
      <c r="B25" s="16"/>
      <c r="C25" s="23"/>
      <c r="D25" s="13"/>
      <c r="E25" s="14"/>
    </row>
    <row r="26" spans="1:5" x14ac:dyDescent="0.25">
      <c r="A26" s="22" t="s">
        <v>111</v>
      </c>
      <c r="B26" s="16">
        <f>SUM(B27:B29)</f>
        <v>0</v>
      </c>
      <c r="C26" s="16">
        <f>SUM(C27:C29)</f>
        <v>0</v>
      </c>
      <c r="D26" s="13"/>
      <c r="E26" s="14"/>
    </row>
    <row r="27" spans="1:5" ht="45" x14ac:dyDescent="0.25">
      <c r="A27" s="13" t="s">
        <v>112</v>
      </c>
      <c r="B27" s="16"/>
      <c r="C27" s="16"/>
      <c r="D27" s="13" t="s">
        <v>952</v>
      </c>
      <c r="E27" s="260" t="s">
        <v>846</v>
      </c>
    </row>
    <row r="28" spans="1:5" x14ac:dyDescent="0.25">
      <c r="A28" s="13" t="s">
        <v>115</v>
      </c>
      <c r="B28" s="16"/>
      <c r="C28" s="16"/>
      <c r="E28" s="13"/>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x14ac:dyDescent="0.25">
      <c r="A32" s="11" t="s">
        <v>119</v>
      </c>
      <c r="B32" s="12">
        <v>0</v>
      </c>
      <c r="C32" s="12">
        <v>0</v>
      </c>
      <c r="D32" s="295"/>
      <c r="E32" s="108"/>
    </row>
    <row r="33" spans="1:5" x14ac:dyDescent="0.25">
      <c r="A33" s="31"/>
      <c r="B33" s="120"/>
      <c r="C33" s="120"/>
      <c r="D33" s="33"/>
      <c r="E33" s="34"/>
    </row>
    <row r="34" spans="1:5" x14ac:dyDescent="0.25">
      <c r="A34" s="35" t="s">
        <v>120</v>
      </c>
      <c r="B34" s="265">
        <f>(SUM(B5,B8,B12,B15,B16))</f>
        <v>2250000000000</v>
      </c>
      <c r="C34" s="265">
        <f>(SUM(C5,C8,C12,C15,C16))</f>
        <v>70076489550.108994</v>
      </c>
    </row>
    <row r="35" spans="1:5" x14ac:dyDescent="0.25">
      <c r="A35" s="31"/>
      <c r="B35" s="39"/>
      <c r="C35" s="40"/>
    </row>
    <row r="36" spans="1:5" x14ac:dyDescent="0.25">
      <c r="A36" s="31" t="s">
        <v>121</v>
      </c>
      <c r="B36" s="268">
        <v>32.107772727272703</v>
      </c>
      <c r="C36" s="42"/>
    </row>
    <row r="37" spans="1:5" x14ac:dyDescent="0.25">
      <c r="A37" s="43" t="s">
        <v>122</v>
      </c>
      <c r="B37" s="269">
        <v>16922020000000</v>
      </c>
      <c r="C37" s="269">
        <v>529177000000</v>
      </c>
    </row>
    <row r="38" spans="1:5" x14ac:dyDescent="0.25">
      <c r="A38" s="43" t="s">
        <v>123</v>
      </c>
      <c r="B38" s="269">
        <v>69428524</v>
      </c>
      <c r="C38" s="152"/>
    </row>
    <row r="39" spans="1:5" x14ac:dyDescent="0.25">
      <c r="A39" s="43"/>
      <c r="B39" s="269"/>
      <c r="C39" s="44"/>
    </row>
    <row r="40" spans="1:5" x14ac:dyDescent="0.25">
      <c r="A40" s="5"/>
      <c r="B40" s="265" t="s">
        <v>953</v>
      </c>
      <c r="C40" s="47" t="s">
        <v>125</v>
      </c>
    </row>
    <row r="41" spans="1:5" x14ac:dyDescent="0.25">
      <c r="A41" s="43" t="s">
        <v>126</v>
      </c>
      <c r="B41" s="269">
        <f>$B37/$B38</f>
        <v>243732.96485461795</v>
      </c>
      <c r="C41" s="269">
        <f>$C37/$B38</f>
        <v>7621.8961532294707</v>
      </c>
    </row>
    <row r="42" spans="1:5" x14ac:dyDescent="0.25">
      <c r="A42" s="43" t="s">
        <v>127</v>
      </c>
      <c r="B42" s="268">
        <f>($B34/$B37)*100</f>
        <v>13.296284958887886</v>
      </c>
      <c r="C42" s="96"/>
    </row>
    <row r="43" spans="1:5" x14ac:dyDescent="0.25">
      <c r="A43" s="43" t="s">
        <v>128</v>
      </c>
      <c r="B43" s="268">
        <f>B34/B38</f>
        <v>32407.429545816067</v>
      </c>
      <c r="C43" s="268">
        <f>C34/B38</f>
        <v>1009.3328435170102</v>
      </c>
    </row>
    <row r="44" spans="1:5" x14ac:dyDescent="0.25">
      <c r="A44" s="43"/>
      <c r="B44" s="50"/>
      <c r="C44" s="50"/>
    </row>
    <row r="45" spans="1:5" x14ac:dyDescent="0.25">
      <c r="A45" s="335" t="s">
        <v>1052</v>
      </c>
      <c r="B45" s="50"/>
      <c r="C45" s="50"/>
    </row>
    <row r="46" spans="1:5" x14ac:dyDescent="0.25">
      <c r="A46" s="43"/>
      <c r="B46" s="50"/>
      <c r="C46" s="50"/>
    </row>
    <row r="47" spans="1:5" x14ac:dyDescent="0.25">
      <c r="A47" s="43"/>
      <c r="B47" s="51"/>
    </row>
    <row r="48" spans="1:5" x14ac:dyDescent="0.25">
      <c r="A48" s="43" t="s">
        <v>129</v>
      </c>
    </row>
    <row r="49" spans="1:7" x14ac:dyDescent="0.25">
      <c r="A49" s="277" t="s">
        <v>130</v>
      </c>
      <c r="F49" s="18"/>
      <c r="G49" s="18"/>
    </row>
    <row r="50" spans="1:7" ht="15.45" customHeight="1" x14ac:dyDescent="0.25">
      <c r="A50" s="53"/>
      <c r="B50" s="53"/>
      <c r="C50" s="53"/>
      <c r="D50" s="53"/>
      <c r="E50" s="53"/>
    </row>
    <row r="51" spans="1:7" x14ac:dyDescent="0.25">
      <c r="A51" s="43" t="s">
        <v>131</v>
      </c>
    </row>
    <row r="52" spans="1:7" s="38" customFormat="1" ht="15.6" customHeight="1" x14ac:dyDescent="0.3">
      <c r="A52" s="368" t="s">
        <v>954</v>
      </c>
      <c r="B52" s="368"/>
      <c r="C52" s="368"/>
      <c r="D52" s="368"/>
      <c r="E52" s="368"/>
      <c r="F52" s="70"/>
      <c r="G52" s="70"/>
    </row>
    <row r="53" spans="1:7" s="38" customFormat="1" x14ac:dyDescent="0.3">
      <c r="A53" s="368"/>
      <c r="B53" s="368"/>
      <c r="C53" s="368"/>
      <c r="D53" s="368"/>
      <c r="E53" s="368"/>
      <c r="F53" s="70"/>
      <c r="G53" s="70"/>
    </row>
    <row r="54" spans="1:7" s="38" customFormat="1" x14ac:dyDescent="0.25">
      <c r="A54" s="18" t="s">
        <v>955</v>
      </c>
      <c r="D54" s="37"/>
      <c r="F54" s="70"/>
      <c r="G54" s="70"/>
    </row>
    <row r="55" spans="1:7" s="38" customFormat="1" x14ac:dyDescent="0.3">
      <c r="A55" s="368" t="s">
        <v>956</v>
      </c>
      <c r="B55" s="368"/>
      <c r="C55" s="368"/>
      <c r="D55" s="368"/>
      <c r="E55" s="368"/>
      <c r="F55" s="70"/>
      <c r="G55" s="70"/>
    </row>
    <row r="56" spans="1:7" s="38" customFormat="1" x14ac:dyDescent="0.3">
      <c r="A56" s="368"/>
      <c r="B56" s="368"/>
      <c r="C56" s="368"/>
      <c r="D56" s="368"/>
      <c r="E56" s="368"/>
      <c r="F56" s="70"/>
      <c r="G56" s="70"/>
    </row>
    <row r="57" spans="1:7" x14ac:dyDescent="0.25">
      <c r="A57" s="37" t="s">
        <v>957</v>
      </c>
    </row>
    <row r="58" spans="1:7" x14ac:dyDescent="0.25">
      <c r="A58" s="148"/>
    </row>
    <row r="60" spans="1:7" x14ac:dyDescent="0.25">
      <c r="A60" s="364" t="s">
        <v>1060</v>
      </c>
      <c r="B60" s="364"/>
      <c r="C60" s="364"/>
      <c r="D60" s="364"/>
      <c r="E60" s="364"/>
    </row>
    <row r="61" spans="1:7" x14ac:dyDescent="0.25">
      <c r="A61" s="364"/>
      <c r="B61" s="364"/>
      <c r="C61" s="364"/>
      <c r="D61" s="364"/>
      <c r="E61" s="364"/>
    </row>
  </sheetData>
  <sheetProtection algorithmName="SHA-512" hashValue="j6sQXH7534I4cdEH4yo9FWp8/F9JRLWe7ivEzYOFwWkchDiuDdS+8i7zz2WKSwLbA5U+t827n0PruYOkKSSywg==" saltValue="YmbIVyyN9/S9ZU7sKj5v2A==" spinCount="100000" sheet="1" formatCells="0" formatColumns="0" formatRows="0" insertColumns="0" insertRows="0" insertHyperlinks="0" deleteColumns="0" deleteRows="0" sort="0" autoFilter="0" pivotTables="0"/>
  <mergeCells count="3">
    <mergeCell ref="A52:E53"/>
    <mergeCell ref="A55:E56"/>
    <mergeCell ref="A60:E61"/>
  </mergeCells>
  <hyperlinks>
    <hyperlink ref="A2" location="Index!B30" display="[Back to Index]" xr:uid="{B36899FB-EFDB-409F-9D4D-E12EAB73A0AC}"/>
  </hyperlink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EF37-37F1-4EA0-AE88-13BC90626E88}">
  <sheetPr codeName="Sheet11">
    <tabColor theme="7" tint="0.79998168889431442"/>
  </sheetPr>
  <dimension ref="A1:E64"/>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3" width="27.5546875" style="38" customWidth="1"/>
    <col min="4" max="4" width="95.6640625" style="37" customWidth="1"/>
    <col min="5" max="5" width="40.6640625" style="38" customWidth="1"/>
    <col min="6" max="9" width="8.77734375" style="18" customWidth="1"/>
    <col min="10" max="16384" width="8.6640625" style="18"/>
  </cols>
  <sheetData>
    <row r="1" spans="1:5" s="5" customFormat="1" ht="17.399999999999999" x14ac:dyDescent="0.25">
      <c r="A1" s="112" t="s">
        <v>29</v>
      </c>
      <c r="B1" s="2" t="s">
        <v>73</v>
      </c>
      <c r="C1" s="84">
        <v>1.4195899999999999</v>
      </c>
      <c r="D1" s="4" t="s">
        <v>1045</v>
      </c>
    </row>
    <row r="2" spans="1:5" s="5" customFormat="1" x14ac:dyDescent="0.25">
      <c r="A2" s="324" t="s">
        <v>74</v>
      </c>
      <c r="C2" s="84">
        <v>0</v>
      </c>
      <c r="D2" s="4" t="s">
        <v>1046</v>
      </c>
    </row>
    <row r="3" spans="1:5" x14ac:dyDescent="0.25">
      <c r="A3" s="154"/>
      <c r="B3" s="222"/>
      <c r="C3" s="142"/>
    </row>
    <row r="4" spans="1:5" s="10" customFormat="1" x14ac:dyDescent="0.3">
      <c r="A4" s="8" t="s">
        <v>75</v>
      </c>
      <c r="B4" s="233" t="s">
        <v>77</v>
      </c>
      <c r="C4" s="234"/>
      <c r="D4" s="9" t="s">
        <v>78</v>
      </c>
      <c r="E4" s="8" t="s">
        <v>79</v>
      </c>
    </row>
    <row r="5" spans="1:5" s="15" customFormat="1" ht="60" x14ac:dyDescent="0.25">
      <c r="A5" s="11" t="s">
        <v>80</v>
      </c>
      <c r="B5" s="237">
        <f>SUM(B6:B7)</f>
        <v>0</v>
      </c>
      <c r="C5" s="238"/>
      <c r="D5" s="280"/>
      <c r="E5" s="14"/>
    </row>
    <row r="6" spans="1:5" s="15" customFormat="1" ht="45" x14ac:dyDescent="0.25">
      <c r="A6" s="14" t="s">
        <v>81</v>
      </c>
      <c r="B6" s="237"/>
      <c r="C6" s="238"/>
      <c r="D6" s="13"/>
      <c r="E6" s="14"/>
    </row>
    <row r="7" spans="1:5" s="15" customFormat="1" ht="45" x14ac:dyDescent="0.25">
      <c r="A7" s="14" t="s">
        <v>84</v>
      </c>
      <c r="B7" s="239"/>
      <c r="C7" s="240"/>
      <c r="D7" s="274"/>
      <c r="E7" s="13"/>
    </row>
    <row r="8" spans="1:5" ht="30" x14ac:dyDescent="0.25">
      <c r="A8" s="11" t="s">
        <v>87</v>
      </c>
      <c r="B8" s="237">
        <f>SUM(B9:B11)</f>
        <v>0</v>
      </c>
      <c r="C8" s="238"/>
      <c r="D8" s="13"/>
      <c r="E8" s="14"/>
    </row>
    <row r="9" spans="1:5" ht="60" x14ac:dyDescent="0.25">
      <c r="A9" s="14" t="s">
        <v>88</v>
      </c>
      <c r="B9" s="237"/>
      <c r="C9" s="238"/>
      <c r="E9" s="14"/>
    </row>
    <row r="10" spans="1:5" ht="45" x14ac:dyDescent="0.25">
      <c r="A10" s="14" t="s">
        <v>90</v>
      </c>
      <c r="B10" s="237"/>
      <c r="C10" s="238"/>
      <c r="D10" s="275"/>
      <c r="E10" s="13"/>
    </row>
    <row r="11" spans="1:5" x14ac:dyDescent="0.25">
      <c r="A11" s="14" t="s">
        <v>92</v>
      </c>
      <c r="B11" s="237"/>
      <c r="C11" s="238"/>
      <c r="D11" s="13"/>
      <c r="E11" s="14"/>
    </row>
    <row r="12" spans="1:5" ht="45" x14ac:dyDescent="0.25">
      <c r="A12" s="11" t="s">
        <v>93</v>
      </c>
      <c r="B12" s="237">
        <f>SUM(B13:B14)</f>
        <v>0</v>
      </c>
      <c r="C12" s="296"/>
      <c r="D12" s="13"/>
      <c r="E12" s="14"/>
    </row>
    <row r="13" spans="1:5" ht="45" x14ac:dyDescent="0.25">
      <c r="A13" s="14" t="s">
        <v>94</v>
      </c>
      <c r="B13" s="243"/>
      <c r="C13" s="244"/>
      <c r="D13" s="274"/>
      <c r="E13" s="14"/>
    </row>
    <row r="14" spans="1:5" x14ac:dyDescent="0.25">
      <c r="A14" s="14" t="s">
        <v>96</v>
      </c>
      <c r="B14" s="237"/>
      <c r="C14" s="238"/>
      <c r="D14" s="13"/>
      <c r="E14" s="14"/>
    </row>
    <row r="15" spans="1:5" ht="45" x14ac:dyDescent="0.25">
      <c r="A15" s="11" t="s">
        <v>97</v>
      </c>
      <c r="B15" s="235">
        <v>0</v>
      </c>
      <c r="C15" s="236"/>
      <c r="D15" s="13"/>
      <c r="E15" s="14"/>
    </row>
    <row r="16" spans="1:5" ht="30" x14ac:dyDescent="0.25">
      <c r="A16" s="11" t="s">
        <v>98</v>
      </c>
      <c r="B16" s="235">
        <f>SUM(B17:B18)</f>
        <v>150000000</v>
      </c>
      <c r="C16" s="238"/>
      <c r="D16" s="13"/>
      <c r="E16" s="14"/>
    </row>
    <row r="17" spans="1:5" ht="69" customHeight="1" x14ac:dyDescent="0.25">
      <c r="A17" s="13" t="s">
        <v>99</v>
      </c>
      <c r="B17" s="237">
        <f>0.15*10^9</f>
        <v>150000000</v>
      </c>
      <c r="C17" s="244"/>
      <c r="D17" s="33" t="s">
        <v>958</v>
      </c>
      <c r="E17" s="260" t="s">
        <v>846</v>
      </c>
    </row>
    <row r="18" spans="1:5" ht="50.4" customHeight="1" x14ac:dyDescent="0.25">
      <c r="A18" s="13" t="s">
        <v>101</v>
      </c>
      <c r="B18" s="297"/>
      <c r="C18" s="244"/>
      <c r="D18" s="13"/>
    </row>
    <row r="19" spans="1:5" ht="30" x14ac:dyDescent="0.25">
      <c r="A19" s="11" t="s">
        <v>103</v>
      </c>
      <c r="B19" s="235">
        <v>0</v>
      </c>
      <c r="C19" s="236"/>
      <c r="E19" s="21"/>
    </row>
    <row r="20" spans="1:5" x14ac:dyDescent="0.25">
      <c r="A20" s="14" t="s">
        <v>104</v>
      </c>
      <c r="B20" s="237"/>
      <c r="C20" s="238"/>
      <c r="D20" s="13"/>
      <c r="E20" s="21"/>
    </row>
    <row r="21" spans="1:5" ht="30" x14ac:dyDescent="0.25">
      <c r="A21" s="22" t="s">
        <v>105</v>
      </c>
      <c r="B21" s="237">
        <f>SUM(B22,B24)</f>
        <v>0</v>
      </c>
      <c r="C21" s="238"/>
      <c r="D21" s="13"/>
      <c r="E21" s="14"/>
    </row>
    <row r="22" spans="1:5" x14ac:dyDescent="0.25">
      <c r="A22" s="22" t="s">
        <v>108</v>
      </c>
      <c r="B22" s="237"/>
      <c r="C22" s="238"/>
      <c r="D22" s="13"/>
      <c r="E22" s="14"/>
    </row>
    <row r="23" spans="1:5" x14ac:dyDescent="0.25">
      <c r="A23" s="13" t="s">
        <v>109</v>
      </c>
      <c r="B23" s="237"/>
      <c r="C23" s="238"/>
      <c r="D23" s="13"/>
      <c r="E23" s="14"/>
    </row>
    <row r="24" spans="1:5" x14ac:dyDescent="0.25">
      <c r="A24" s="22" t="s">
        <v>110</v>
      </c>
      <c r="B24" s="243"/>
      <c r="C24" s="244"/>
      <c r="D24" s="24"/>
      <c r="E24" s="14"/>
    </row>
    <row r="25" spans="1:5" x14ac:dyDescent="0.25">
      <c r="A25" s="13" t="s">
        <v>109</v>
      </c>
      <c r="B25" s="237"/>
      <c r="C25" s="244"/>
      <c r="D25" s="13"/>
      <c r="E25" s="14"/>
    </row>
    <row r="26" spans="1:5" x14ac:dyDescent="0.25">
      <c r="A26" s="22" t="s">
        <v>111</v>
      </c>
      <c r="B26" s="237">
        <f>SUM(B27:B29)</f>
        <v>0</v>
      </c>
      <c r="C26" s="238"/>
      <c r="D26" s="13"/>
      <c r="E26" s="14"/>
    </row>
    <row r="27" spans="1:5" x14ac:dyDescent="0.25">
      <c r="A27" s="13" t="s">
        <v>112</v>
      </c>
      <c r="B27" s="237"/>
      <c r="C27" s="238"/>
      <c r="D27" s="13"/>
      <c r="E27" s="14"/>
    </row>
    <row r="28" spans="1:5" x14ac:dyDescent="0.25">
      <c r="A28" s="13" t="s">
        <v>115</v>
      </c>
      <c r="B28" s="237"/>
      <c r="C28" s="238"/>
      <c r="D28" s="13"/>
      <c r="E28" s="13"/>
    </row>
    <row r="29" spans="1:5" x14ac:dyDescent="0.25">
      <c r="A29" s="13" t="s">
        <v>116</v>
      </c>
      <c r="B29" s="237">
        <f>SUM(B30:B31)</f>
        <v>0</v>
      </c>
      <c r="C29" s="238"/>
      <c r="D29" s="13"/>
      <c r="E29" s="14"/>
    </row>
    <row r="30" spans="1:5" x14ac:dyDescent="0.25">
      <c r="A30" s="13" t="s">
        <v>117</v>
      </c>
      <c r="B30" s="237"/>
      <c r="C30" s="238"/>
      <c r="D30" s="83"/>
      <c r="E30" s="24"/>
    </row>
    <row r="31" spans="1:5" x14ac:dyDescent="0.25">
      <c r="A31" s="13" t="s">
        <v>118</v>
      </c>
      <c r="B31" s="237"/>
      <c r="C31" s="238"/>
      <c r="D31" s="13"/>
      <c r="E31" s="14"/>
    </row>
    <row r="32" spans="1:5" ht="45" x14ac:dyDescent="0.25">
      <c r="A32" s="11" t="s">
        <v>119</v>
      </c>
      <c r="B32" s="235">
        <f>0.1*10^9</f>
        <v>100000000</v>
      </c>
      <c r="C32" s="236"/>
      <c r="D32" s="13" t="s">
        <v>959</v>
      </c>
      <c r="E32" s="260" t="s">
        <v>846</v>
      </c>
    </row>
    <row r="33" spans="1:5" s="169" customFormat="1" x14ac:dyDescent="0.3">
      <c r="A33" s="31"/>
      <c r="B33" s="120"/>
      <c r="C33" s="120"/>
      <c r="D33" s="33"/>
      <c r="E33" s="34"/>
    </row>
    <row r="34" spans="1:5" s="169" customFormat="1" x14ac:dyDescent="0.25">
      <c r="A34" s="35" t="s">
        <v>120</v>
      </c>
      <c r="B34" s="265">
        <f>(SUM(B5,B8,B12,B15,B16,B32))</f>
        <v>250000000</v>
      </c>
      <c r="C34" s="121"/>
      <c r="D34" s="37" t="s">
        <v>154</v>
      </c>
      <c r="E34" s="38"/>
    </row>
    <row r="35" spans="1:5" s="169" customFormat="1" x14ac:dyDescent="0.25">
      <c r="A35" s="31"/>
      <c r="B35" s="39"/>
      <c r="C35" s="40"/>
      <c r="D35" s="37"/>
      <c r="E35" s="38"/>
    </row>
    <row r="36" spans="1:5" s="169" customFormat="1" x14ac:dyDescent="0.25">
      <c r="A36" s="31" t="s">
        <v>121</v>
      </c>
      <c r="B36" s="268">
        <v>1</v>
      </c>
      <c r="C36" s="42"/>
      <c r="D36" s="18"/>
      <c r="E36" s="38"/>
    </row>
    <row r="37" spans="1:5" s="169" customFormat="1" x14ac:dyDescent="0.25">
      <c r="A37" s="43" t="s">
        <v>122</v>
      </c>
      <c r="B37" s="269">
        <v>2938000000</v>
      </c>
      <c r="C37" s="45"/>
      <c r="D37" s="18"/>
      <c r="E37" s="38"/>
    </row>
    <row r="38" spans="1:5" s="169" customFormat="1" x14ac:dyDescent="0.25">
      <c r="A38" s="43" t="s">
        <v>123</v>
      </c>
      <c r="B38" s="269">
        <v>1267972</v>
      </c>
      <c r="C38" s="152"/>
      <c r="D38" s="37"/>
      <c r="E38" s="38"/>
    </row>
    <row r="39" spans="1:5" s="169" customFormat="1" x14ac:dyDescent="0.25">
      <c r="A39" s="43"/>
      <c r="B39" s="269"/>
      <c r="C39" s="44"/>
      <c r="D39" s="37"/>
      <c r="E39" s="38"/>
    </row>
    <row r="40" spans="1:5" s="169" customFormat="1" x14ac:dyDescent="0.25">
      <c r="A40" s="5"/>
      <c r="B40" s="265" t="s">
        <v>125</v>
      </c>
      <c r="C40" s="298"/>
      <c r="D40" s="37"/>
      <c r="E40" s="38"/>
    </row>
    <row r="41" spans="1:5" s="169" customFormat="1" x14ac:dyDescent="0.25">
      <c r="A41" s="43" t="s">
        <v>126</v>
      </c>
      <c r="B41" s="269">
        <f>$B37/$B38</f>
        <v>2317.0858662494124</v>
      </c>
      <c r="C41" s="299"/>
      <c r="D41" s="37"/>
      <c r="E41" s="38"/>
    </row>
    <row r="42" spans="1:5" s="169" customFormat="1" x14ac:dyDescent="0.25">
      <c r="A42" s="43" t="s">
        <v>127</v>
      </c>
      <c r="B42" s="268">
        <f>($B34/$B37)*100</f>
        <v>8.509189925119129</v>
      </c>
      <c r="C42" s="300"/>
      <c r="D42" s="37"/>
      <c r="E42" s="38"/>
    </row>
    <row r="43" spans="1:5" s="169" customFormat="1" x14ac:dyDescent="0.25">
      <c r="A43" s="43" t="s">
        <v>128</v>
      </c>
      <c r="B43" s="268">
        <f>B34/B38</f>
        <v>197.1652370872543</v>
      </c>
      <c r="C43" s="301"/>
      <c r="D43" s="37"/>
      <c r="E43" s="38"/>
    </row>
    <row r="44" spans="1:5" s="169" customFormat="1" x14ac:dyDescent="0.25">
      <c r="A44" s="43"/>
      <c r="B44" s="50"/>
      <c r="C44" s="50"/>
      <c r="D44" s="37"/>
      <c r="E44" s="38"/>
    </row>
    <row r="45" spans="1:5" s="169" customFormat="1" x14ac:dyDescent="0.25">
      <c r="A45" s="335" t="s">
        <v>1052</v>
      </c>
      <c r="B45" s="50"/>
      <c r="C45" s="50"/>
      <c r="D45" s="37"/>
      <c r="E45" s="38"/>
    </row>
    <row r="46" spans="1:5" s="169" customFormat="1" x14ac:dyDescent="0.25">
      <c r="A46" s="43"/>
      <c r="B46" s="50"/>
      <c r="C46" s="50"/>
      <c r="D46" s="37"/>
      <c r="E46" s="38"/>
    </row>
    <row r="47" spans="1:5" s="169" customFormat="1" x14ac:dyDescent="0.25">
      <c r="A47" s="43"/>
      <c r="B47" s="51"/>
      <c r="C47" s="38"/>
      <c r="D47" s="37"/>
      <c r="E47" s="38"/>
    </row>
    <row r="48" spans="1:5" s="169" customFormat="1" x14ac:dyDescent="0.25">
      <c r="A48" s="43" t="s">
        <v>129</v>
      </c>
      <c r="B48" s="38"/>
      <c r="C48" s="38"/>
      <c r="D48" s="37"/>
      <c r="E48" s="38"/>
    </row>
    <row r="49" spans="1:5" s="169" customFormat="1" ht="15.45" customHeight="1" x14ac:dyDescent="0.3">
      <c r="A49" s="277" t="s">
        <v>130</v>
      </c>
      <c r="B49" s="53"/>
      <c r="C49" s="53"/>
      <c r="D49" s="53"/>
      <c r="E49" s="53"/>
    </row>
    <row r="50" spans="1:5" ht="15.45" customHeight="1" x14ac:dyDescent="0.25">
      <c r="A50" s="53"/>
      <c r="B50" s="53"/>
      <c r="C50" s="53"/>
      <c r="D50" s="53"/>
      <c r="E50" s="53"/>
    </row>
    <row r="51" spans="1:5" x14ac:dyDescent="0.25">
      <c r="A51" s="43" t="s">
        <v>131</v>
      </c>
    </row>
    <row r="52" spans="1:5" s="38" customFormat="1" ht="15.6" customHeight="1" x14ac:dyDescent="0.3">
      <c r="A52" s="368" t="s">
        <v>960</v>
      </c>
      <c r="B52" s="368"/>
      <c r="C52" s="368"/>
      <c r="D52" s="368"/>
      <c r="E52" s="368"/>
    </row>
    <row r="53" spans="1:5" s="38" customFormat="1" ht="15.6" customHeight="1" x14ac:dyDescent="0.3">
      <c r="A53" s="368"/>
      <c r="B53" s="368"/>
      <c r="C53" s="368"/>
      <c r="D53" s="368"/>
      <c r="E53" s="368"/>
    </row>
    <row r="54" spans="1:5" s="38" customFormat="1" x14ac:dyDescent="0.25">
      <c r="A54" s="18" t="s">
        <v>961</v>
      </c>
      <c r="B54" s="18"/>
      <c r="C54" s="18"/>
      <c r="D54" s="18"/>
      <c r="E54" s="18"/>
    </row>
    <row r="55" spans="1:5" s="38" customFormat="1" x14ac:dyDescent="0.25">
      <c r="A55" s="18" t="s">
        <v>962</v>
      </c>
      <c r="B55" s="18"/>
      <c r="C55" s="18"/>
      <c r="D55" s="18"/>
      <c r="E55" s="18"/>
    </row>
    <row r="56" spans="1:5" s="38" customFormat="1" x14ac:dyDescent="0.3">
      <c r="A56" s="368" t="s">
        <v>963</v>
      </c>
      <c r="B56" s="368"/>
      <c r="C56" s="368"/>
      <c r="D56" s="368"/>
      <c r="E56" s="368"/>
    </row>
    <row r="57" spans="1:5" s="38" customFormat="1" x14ac:dyDescent="0.3">
      <c r="A57" s="368"/>
      <c r="B57" s="368"/>
      <c r="C57" s="368"/>
      <c r="D57" s="368"/>
      <c r="E57" s="368"/>
    </row>
    <row r="58" spans="1:5" s="38" customFormat="1" x14ac:dyDescent="0.25">
      <c r="A58" s="18" t="s">
        <v>964</v>
      </c>
      <c r="B58" s="18"/>
      <c r="C58" s="18"/>
      <c r="D58" s="18"/>
      <c r="E58" s="18"/>
    </row>
    <row r="59" spans="1:5" s="38" customFormat="1" x14ac:dyDescent="0.25">
      <c r="A59" s="18" t="s">
        <v>965</v>
      </c>
      <c r="B59" s="18"/>
      <c r="C59" s="18"/>
      <c r="D59" s="18"/>
      <c r="E59" s="18"/>
    </row>
    <row r="60" spans="1:5" x14ac:dyDescent="0.25">
      <c r="A60" s="281" t="s">
        <v>891</v>
      </c>
      <c r="B60" s="18"/>
      <c r="C60" s="18"/>
      <c r="D60" s="18"/>
      <c r="E60" s="18"/>
    </row>
    <row r="61" spans="1:5" x14ac:dyDescent="0.25">
      <c r="A61" s="18"/>
      <c r="B61" s="18"/>
      <c r="C61" s="18"/>
      <c r="D61" s="18"/>
      <c r="E61" s="18"/>
    </row>
    <row r="62" spans="1:5" x14ac:dyDescent="0.25">
      <c r="A62" s="18"/>
      <c r="B62" s="18"/>
      <c r="C62" s="18"/>
      <c r="D62" s="18"/>
      <c r="E62" s="18"/>
    </row>
    <row r="63" spans="1:5" x14ac:dyDescent="0.25">
      <c r="A63" s="364" t="s">
        <v>1060</v>
      </c>
      <c r="B63" s="364"/>
      <c r="C63" s="364"/>
      <c r="D63" s="364"/>
      <c r="E63" s="364"/>
    </row>
    <row r="64" spans="1:5" x14ac:dyDescent="0.25">
      <c r="A64" s="364"/>
      <c r="B64" s="364"/>
      <c r="C64" s="364"/>
      <c r="D64" s="364"/>
      <c r="E64" s="364"/>
    </row>
  </sheetData>
  <sheetProtection algorithmName="SHA-512" hashValue="EW18lJ0Gd+oWI2VXUCCdO4lwAujwiPYncY2CqWgcSdj4zBY6pLMlxM0ZOP8FQKmJg3ePn7gy8X1v0likXtSgjA==" saltValue="XSartUqkcvBGyv7/DsfSOA==" spinCount="100000" sheet="1" formatCells="0" formatColumns="0" formatRows="0" insertColumns="0" insertRows="0" insertHyperlinks="0" deleteColumns="0" deleteRows="0" sort="0" autoFilter="0" pivotTables="0"/>
  <mergeCells count="3">
    <mergeCell ref="A52:E53"/>
    <mergeCell ref="A56:E57"/>
    <mergeCell ref="A63:E64"/>
  </mergeCells>
  <hyperlinks>
    <hyperlink ref="A2" location="Index!B31" display="[Back to Index]" xr:uid="{8AF21840-2817-4BF4-B9C1-B5BB209D654C}"/>
  </hyperlink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F56B5-AC8E-4952-98D7-A70FD4A4C0A6}">
  <sheetPr codeName="Sheet12">
    <tabColor theme="7" tint="0.79998168889431442"/>
  </sheetPr>
  <dimension ref="A1:E6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2" width="28.5546875" style="38" bestFit="1" customWidth="1"/>
    <col min="3" max="3" width="27.6640625" style="38" customWidth="1"/>
    <col min="4" max="4" width="95.6640625" style="37" customWidth="1"/>
    <col min="5" max="5" width="40.6640625" style="38" customWidth="1"/>
    <col min="6" max="16384" width="8.6640625" style="18"/>
  </cols>
  <sheetData>
    <row r="1" spans="1:5" s="5" customFormat="1" ht="17.399999999999999" x14ac:dyDescent="0.25">
      <c r="A1" s="112" t="s">
        <v>32</v>
      </c>
      <c r="B1" s="2" t="s">
        <v>73</v>
      </c>
      <c r="C1" s="84">
        <v>0.288883</v>
      </c>
      <c r="D1" s="4" t="s">
        <v>1045</v>
      </c>
    </row>
    <row r="2" spans="1:5" s="5" customFormat="1" x14ac:dyDescent="0.25">
      <c r="A2" s="324" t="s">
        <v>74</v>
      </c>
      <c r="C2" s="84">
        <v>0</v>
      </c>
      <c r="D2" s="4" t="s">
        <v>1046</v>
      </c>
    </row>
    <row r="3" spans="1:5" x14ac:dyDescent="0.25">
      <c r="A3" s="154"/>
      <c r="B3" s="222"/>
      <c r="C3" s="142"/>
    </row>
    <row r="4" spans="1:5" s="10" customFormat="1" x14ac:dyDescent="0.3">
      <c r="A4" s="8" t="s">
        <v>75</v>
      </c>
      <c r="B4" s="9" t="s">
        <v>997</v>
      </c>
      <c r="C4" s="9" t="s">
        <v>77</v>
      </c>
      <c r="D4" s="9" t="s">
        <v>78</v>
      </c>
      <c r="E4" s="8" t="s">
        <v>79</v>
      </c>
    </row>
    <row r="5" spans="1:5" s="15" customFormat="1" ht="60" x14ac:dyDescent="0.25">
      <c r="A5" s="11" t="s">
        <v>80</v>
      </c>
      <c r="B5" s="16">
        <f>SUM(B6:B7)</f>
        <v>0</v>
      </c>
      <c r="C5" s="16">
        <f>SUM(C6:C7)</f>
        <v>0</v>
      </c>
      <c r="D5" s="13"/>
      <c r="E5" s="14"/>
    </row>
    <row r="6" spans="1:5" s="15" customFormat="1" ht="45" x14ac:dyDescent="0.25">
      <c r="A6" s="14" t="s">
        <v>81</v>
      </c>
      <c r="B6" s="16"/>
      <c r="C6" s="16"/>
      <c r="D6" s="13" t="s">
        <v>998</v>
      </c>
      <c r="E6" s="260" t="s">
        <v>846</v>
      </c>
    </row>
    <row r="7" spans="1:5" s="15" customFormat="1" ht="45" x14ac:dyDescent="0.25">
      <c r="A7" s="14" t="s">
        <v>84</v>
      </c>
      <c r="B7" s="17"/>
      <c r="C7" s="17"/>
      <c r="E7" s="260"/>
    </row>
    <row r="8" spans="1:5" ht="30" x14ac:dyDescent="0.25">
      <c r="A8" s="11" t="s">
        <v>87</v>
      </c>
      <c r="B8" s="16">
        <f>SUM(B9:B11)</f>
        <v>0</v>
      </c>
      <c r="C8" s="16">
        <f>SUM(C9:C11)</f>
        <v>0</v>
      </c>
      <c r="D8" s="13"/>
      <c r="E8" s="14"/>
    </row>
    <row r="9" spans="1:5" ht="60" x14ac:dyDescent="0.25">
      <c r="A9" s="14" t="s">
        <v>88</v>
      </c>
      <c r="B9" s="16"/>
      <c r="C9" s="16"/>
      <c r="D9" s="284"/>
      <c r="E9" s="14"/>
    </row>
    <row r="10" spans="1:5" ht="166.8" customHeight="1" x14ac:dyDescent="0.25">
      <c r="A10" s="14" t="s">
        <v>90</v>
      </c>
      <c r="B10" s="16"/>
      <c r="C10" s="16"/>
      <c r="D10" s="307" t="s">
        <v>999</v>
      </c>
      <c r="E10" s="260" t="s">
        <v>846</v>
      </c>
    </row>
    <row r="11" spans="1:5" x14ac:dyDescent="0.25">
      <c r="A11" s="14" t="s">
        <v>92</v>
      </c>
      <c r="B11" s="16"/>
      <c r="C11" s="16"/>
      <c r="D11" s="13"/>
      <c r="E11" s="14"/>
    </row>
    <row r="12" spans="1:5" ht="45" x14ac:dyDescent="0.25">
      <c r="A12" s="11" t="s">
        <v>93</v>
      </c>
      <c r="B12" s="12">
        <f>SUM(B13:B14)</f>
        <v>301200000000000</v>
      </c>
      <c r="C12" s="12">
        <f>SUM(C13:C14)</f>
        <v>12963202065.848934</v>
      </c>
      <c r="D12" s="13"/>
      <c r="E12" s="14"/>
    </row>
    <row r="13" spans="1:5" ht="105.6" customHeight="1" x14ac:dyDescent="0.25">
      <c r="A13" s="14" t="s">
        <v>94</v>
      </c>
      <c r="B13" s="224">
        <f>(285+16.2)*10^12</f>
        <v>301200000000000</v>
      </c>
      <c r="C13" s="23">
        <f>B13/B36</f>
        <v>12963202065.848934</v>
      </c>
      <c r="D13" s="24" t="s">
        <v>1000</v>
      </c>
      <c r="E13" s="260" t="s">
        <v>1001</v>
      </c>
    </row>
    <row r="14" spans="1:5" ht="77.400000000000006" customHeight="1" x14ac:dyDescent="0.25">
      <c r="A14" s="14" t="s">
        <v>96</v>
      </c>
      <c r="B14" s="16"/>
      <c r="C14" s="16"/>
      <c r="D14" s="33" t="s">
        <v>1002</v>
      </c>
      <c r="E14" s="260" t="s">
        <v>1001</v>
      </c>
    </row>
    <row r="15" spans="1:5" ht="45" x14ac:dyDescent="0.25">
      <c r="A15" s="11" t="s">
        <v>97</v>
      </c>
      <c r="B15" s="12">
        <v>0</v>
      </c>
      <c r="C15" s="12">
        <v>0</v>
      </c>
      <c r="D15" s="13"/>
      <c r="E15" s="14"/>
    </row>
    <row r="16" spans="1:5" ht="30" x14ac:dyDescent="0.25">
      <c r="A16" s="11" t="s">
        <v>98</v>
      </c>
      <c r="B16" s="12">
        <f>SUM(B17:B18)</f>
        <v>237684985000000</v>
      </c>
      <c r="C16" s="12">
        <f>SUM(C17:C18)</f>
        <v>10229609855.820959</v>
      </c>
      <c r="D16" s="13"/>
      <c r="E16" s="14"/>
    </row>
    <row r="17" spans="1:5" ht="45" x14ac:dyDescent="0.25">
      <c r="A17" s="13" t="s">
        <v>99</v>
      </c>
      <c r="B17" s="16">
        <f>C17*B36</f>
        <v>1184985000000</v>
      </c>
      <c r="C17" s="16">
        <f>51*10^6</f>
        <v>51000000</v>
      </c>
      <c r="D17" s="24" t="s">
        <v>1003</v>
      </c>
      <c r="E17" s="260" t="s">
        <v>846</v>
      </c>
    </row>
    <row r="18" spans="1:5" ht="292.2" customHeight="1" x14ac:dyDescent="0.25">
      <c r="A18" s="13" t="s">
        <v>101</v>
      </c>
      <c r="B18" s="16">
        <f>(180+9.5+36+11)*10^12</f>
        <v>236500000000000</v>
      </c>
      <c r="C18" s="16">
        <f>B18/B36</f>
        <v>10178609855.820959</v>
      </c>
      <c r="D18" s="92" t="s">
        <v>1004</v>
      </c>
      <c r="E18" s="260" t="s">
        <v>1001</v>
      </c>
    </row>
    <row r="19" spans="1:5" ht="30" x14ac:dyDescent="0.25">
      <c r="A19" s="11" t="s">
        <v>103</v>
      </c>
      <c r="B19" s="12">
        <v>0</v>
      </c>
      <c r="C19" s="12">
        <v>0</v>
      </c>
      <c r="D19" s="308"/>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ht="45" x14ac:dyDescent="0.25">
      <c r="A28" s="13" t="s">
        <v>115</v>
      </c>
      <c r="B28" s="16"/>
      <c r="C28" s="16"/>
      <c r="D28" s="13" t="s">
        <v>1005</v>
      </c>
      <c r="E28" s="260" t="s">
        <v>1001</v>
      </c>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x14ac:dyDescent="0.25">
      <c r="A32" s="11" t="s">
        <v>119</v>
      </c>
      <c r="B32" s="12">
        <v>0</v>
      </c>
      <c r="C32" s="12">
        <v>0</v>
      </c>
      <c r="D32" s="13"/>
      <c r="E32" s="14"/>
    </row>
    <row r="33" spans="1:5" x14ac:dyDescent="0.25">
      <c r="A33" s="31"/>
      <c r="B33" s="120"/>
      <c r="C33" s="120"/>
      <c r="D33" s="33"/>
      <c r="E33" s="34"/>
    </row>
    <row r="34" spans="1:5" x14ac:dyDescent="0.25">
      <c r="A34" s="35" t="s">
        <v>120</v>
      </c>
      <c r="B34" s="265">
        <f>(SUM(B5,B8,B12,B15,B16,B32))</f>
        <v>538884985000000</v>
      </c>
      <c r="C34" s="265">
        <f>(SUM(C5,C8,C12,C15,C16,C32))</f>
        <v>23192811921.669891</v>
      </c>
    </row>
    <row r="35" spans="1:5" x14ac:dyDescent="0.25">
      <c r="A35" s="31"/>
      <c r="B35" s="39"/>
      <c r="C35" s="40"/>
    </row>
    <row r="36" spans="1:5" x14ac:dyDescent="0.25">
      <c r="A36" s="31" t="s">
        <v>121</v>
      </c>
      <c r="B36" s="268">
        <v>23235</v>
      </c>
      <c r="C36" s="42"/>
    </row>
    <row r="37" spans="1:5" x14ac:dyDescent="0.25">
      <c r="A37" s="43" t="s">
        <v>122</v>
      </c>
      <c r="B37" s="269">
        <v>6085062160000000</v>
      </c>
      <c r="C37" s="269">
        <v>261637000000</v>
      </c>
    </row>
    <row r="38" spans="1:5" x14ac:dyDescent="0.25">
      <c r="A38" s="43" t="s">
        <v>123</v>
      </c>
      <c r="B38" s="269">
        <v>95540395</v>
      </c>
      <c r="C38" s="152"/>
    </row>
    <row r="39" spans="1:5" x14ac:dyDescent="0.25">
      <c r="A39" s="43"/>
      <c r="B39" s="44"/>
      <c r="C39" s="44"/>
    </row>
    <row r="40" spans="1:5" x14ac:dyDescent="0.25">
      <c r="A40" s="5"/>
      <c r="B40" s="46" t="s">
        <v>1006</v>
      </c>
      <c r="C40" s="47" t="s">
        <v>125</v>
      </c>
    </row>
    <row r="41" spans="1:5" x14ac:dyDescent="0.25">
      <c r="A41" s="43" t="s">
        <v>126</v>
      </c>
      <c r="B41" s="269">
        <f>$B37/$B38</f>
        <v>63690988.08938355</v>
      </c>
      <c r="C41" s="269">
        <f>$C37/$B38</f>
        <v>2738.4961094205232</v>
      </c>
    </row>
    <row r="42" spans="1:5" x14ac:dyDescent="0.25">
      <c r="A42" s="43" t="s">
        <v>127</v>
      </c>
      <c r="B42" s="268">
        <f>($B34/$B37)*100</f>
        <v>8.8558665602850635</v>
      </c>
      <c r="C42" s="96"/>
    </row>
    <row r="43" spans="1:5" x14ac:dyDescent="0.25">
      <c r="A43" s="43" t="s">
        <v>128</v>
      </c>
      <c r="B43" s="268">
        <f>B34/B38</f>
        <v>5640388.9161228612</v>
      </c>
      <c r="C43" s="268">
        <f>C34/B38</f>
        <v>242.75398821273339</v>
      </c>
    </row>
    <row r="44" spans="1:5" x14ac:dyDescent="0.25">
      <c r="A44" s="43"/>
      <c r="B44" s="50"/>
      <c r="C44" s="50"/>
    </row>
    <row r="45" spans="1:5" x14ac:dyDescent="0.25">
      <c r="A45" s="336" t="s">
        <v>1055</v>
      </c>
      <c r="B45" s="50"/>
      <c r="C45" s="50"/>
    </row>
    <row r="46" spans="1:5" x14ac:dyDescent="0.25">
      <c r="A46" s="43"/>
      <c r="B46" s="50"/>
      <c r="C46" s="50"/>
    </row>
    <row r="47" spans="1:5" x14ac:dyDescent="0.25">
      <c r="A47" s="43"/>
      <c r="B47" s="51"/>
    </row>
    <row r="48" spans="1:5" x14ac:dyDescent="0.25">
      <c r="A48" s="43" t="s">
        <v>129</v>
      </c>
    </row>
    <row r="49" spans="1:5" ht="15.45" customHeight="1" x14ac:dyDescent="0.25">
      <c r="A49" s="52" t="s">
        <v>1007</v>
      </c>
      <c r="B49" s="309"/>
      <c r="C49" s="309"/>
      <c r="D49" s="309"/>
      <c r="E49" s="309"/>
    </row>
    <row r="50" spans="1:5" ht="15.45" customHeight="1" x14ac:dyDescent="0.25">
      <c r="A50" s="52" t="s">
        <v>1008</v>
      </c>
      <c r="B50" s="309"/>
      <c r="C50" s="309"/>
      <c r="D50" s="309"/>
      <c r="E50" s="309"/>
    </row>
    <row r="51" spans="1:5" x14ac:dyDescent="0.25">
      <c r="A51" s="281" t="s">
        <v>870</v>
      </c>
    </row>
    <row r="52" spans="1:5" x14ac:dyDescent="0.25">
      <c r="A52" s="281"/>
    </row>
    <row r="53" spans="1:5" x14ac:dyDescent="0.25">
      <c r="A53" s="43" t="s">
        <v>131</v>
      </c>
    </row>
    <row r="54" spans="1:5" s="38" customFormat="1" x14ac:dyDescent="0.3">
      <c r="A54" s="369" t="s">
        <v>1009</v>
      </c>
      <c r="B54" s="369"/>
      <c r="C54" s="369"/>
      <c r="D54" s="369"/>
      <c r="E54" s="369"/>
    </row>
    <row r="55" spans="1:5" s="38" customFormat="1" x14ac:dyDescent="0.3">
      <c r="A55" s="369"/>
      <c r="B55" s="369"/>
      <c r="C55" s="369"/>
      <c r="D55" s="369"/>
      <c r="E55" s="369"/>
    </row>
    <row r="56" spans="1:5" s="38" customFormat="1" x14ac:dyDescent="0.25">
      <c r="A56" s="37" t="s">
        <v>1010</v>
      </c>
      <c r="B56" s="37"/>
      <c r="C56" s="147"/>
      <c r="D56" s="37"/>
      <c r="E56" s="37"/>
    </row>
    <row r="57" spans="1:5" s="38" customFormat="1" x14ac:dyDescent="0.3">
      <c r="A57" s="38" t="s">
        <v>1011</v>
      </c>
      <c r="B57" s="34"/>
      <c r="C57" s="34"/>
      <c r="D57" s="34"/>
      <c r="E57" s="34"/>
    </row>
    <row r="58" spans="1:5" s="38" customFormat="1" x14ac:dyDescent="0.25">
      <c r="A58" s="5" t="s">
        <v>1012</v>
      </c>
      <c r="D58" s="37"/>
    </row>
    <row r="59" spans="1:5" s="38" customFormat="1" x14ac:dyDescent="0.25">
      <c r="A59" s="37" t="s">
        <v>957</v>
      </c>
      <c r="D59" s="37"/>
    </row>
    <row r="60" spans="1:5" s="38" customFormat="1" x14ac:dyDescent="0.25">
      <c r="A60" s="5"/>
      <c r="D60" s="37"/>
    </row>
    <row r="62" spans="1:5" x14ac:dyDescent="0.25">
      <c r="A62" s="364" t="s">
        <v>1060</v>
      </c>
      <c r="B62" s="364"/>
      <c r="C62" s="364"/>
      <c r="D62" s="364"/>
      <c r="E62" s="364"/>
    </row>
    <row r="63" spans="1:5" x14ac:dyDescent="0.25">
      <c r="A63" s="364"/>
      <c r="B63" s="364"/>
      <c r="C63" s="364"/>
      <c r="D63" s="364"/>
      <c r="E63" s="364"/>
    </row>
  </sheetData>
  <sheetProtection algorithmName="SHA-512" hashValue="z/eZ+s8BLcJhYu3XrjgeF1g+PH4SaU7YsRFu+x9COmQRrYUUXcvxJZLokEz1Ngew+ANVlp0zJdBjRoVvmLqKMw==" saltValue="8gFVp6UJVttHxA33+Y37Sw==" spinCount="100000" sheet="1" formatCells="0" formatColumns="0" formatRows="0" insertColumns="0" insertRows="0" insertHyperlinks="0" deleteColumns="0" deleteRows="0" sort="0" autoFilter="0" pivotTables="0"/>
  <mergeCells count="2">
    <mergeCell ref="A54:E55"/>
    <mergeCell ref="A62:E63"/>
  </mergeCells>
  <hyperlinks>
    <hyperlink ref="A2" location="Index!B32" display="[Back to Index]" xr:uid="{3CC68C8A-BDEB-4CFE-8F68-7FF7A104FB8E}"/>
  </hyperlink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61A5-AF6D-4D35-8A17-C3106639E676}">
  <sheetPr codeName="Sheet13">
    <tabColor theme="8" tint="0.79998168889431442"/>
  </sheetPr>
  <dimension ref="A1:E56"/>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37</v>
      </c>
      <c r="B1" s="2" t="s">
        <v>234</v>
      </c>
      <c r="C1" s="80">
        <v>0</v>
      </c>
      <c r="D1" s="4" t="s">
        <v>1045</v>
      </c>
    </row>
    <row r="2" spans="1:5" s="5" customFormat="1" x14ac:dyDescent="0.25">
      <c r="A2" s="324" t="s">
        <v>74</v>
      </c>
      <c r="C2" s="80">
        <v>0</v>
      </c>
      <c r="D2" s="4" t="s">
        <v>1046</v>
      </c>
    </row>
    <row r="3" spans="1:5" x14ac:dyDescent="0.25">
      <c r="A3" s="154"/>
      <c r="B3" s="222"/>
      <c r="C3" s="142"/>
    </row>
    <row r="4" spans="1:5" s="10" customFormat="1" x14ac:dyDescent="0.3">
      <c r="A4" s="8" t="s">
        <v>75</v>
      </c>
      <c r="B4" s="9" t="s">
        <v>163</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45" x14ac:dyDescent="0.25">
      <c r="A7" s="14" t="s">
        <v>84</v>
      </c>
      <c r="B7" s="17"/>
      <c r="C7" s="17"/>
      <c r="D7" s="13"/>
      <c r="E7" s="14"/>
    </row>
    <row r="8" spans="1:5" ht="30" x14ac:dyDescent="0.25">
      <c r="A8" s="11" t="s">
        <v>87</v>
      </c>
      <c r="B8" s="12">
        <f>SUM(B9:B11)</f>
        <v>0</v>
      </c>
      <c r="C8" s="12">
        <f>SUM(C9:C11)</f>
        <v>0</v>
      </c>
      <c r="D8" s="13"/>
      <c r="E8" s="14"/>
    </row>
    <row r="9" spans="1:5" ht="60" x14ac:dyDescent="0.25">
      <c r="A9" s="14" t="s">
        <v>88</v>
      </c>
      <c r="B9" s="16"/>
      <c r="C9" s="16"/>
      <c r="D9" s="13"/>
      <c r="E9" s="14"/>
    </row>
    <row r="10" spans="1:5" ht="45" x14ac:dyDescent="0.25">
      <c r="A10" s="14" t="s">
        <v>90</v>
      </c>
      <c r="B10" s="16"/>
      <c r="C10" s="16"/>
      <c r="D10" s="13"/>
      <c r="E10" s="14"/>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135" x14ac:dyDescent="0.25">
      <c r="A16" s="11" t="s">
        <v>98</v>
      </c>
      <c r="B16" s="12">
        <v>61000000</v>
      </c>
      <c r="C16" s="12">
        <f>B16/$B$36</f>
        <v>36902601.330913492</v>
      </c>
      <c r="D16" s="13" t="s">
        <v>760</v>
      </c>
      <c r="E16" s="14" t="s">
        <v>761</v>
      </c>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165300</v>
      </c>
      <c r="C26" s="12">
        <f>SUM(C27:C29)</f>
        <v>100000</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6">
        <f>SUM(B30:B31)</f>
        <v>165300</v>
      </c>
      <c r="C29" s="16">
        <f>SUM(C30:C31)</f>
        <v>100000</v>
      </c>
      <c r="D29" s="13"/>
      <c r="E29" s="14"/>
    </row>
    <row r="30" spans="1:5" x14ac:dyDescent="0.25">
      <c r="A30" s="13" t="s">
        <v>117</v>
      </c>
      <c r="B30" s="16">
        <f>C30*$B$36</f>
        <v>165300</v>
      </c>
      <c r="C30" s="16">
        <f>0.1*10^6</f>
        <v>100000</v>
      </c>
      <c r="D30" s="83" t="s">
        <v>762</v>
      </c>
      <c r="E30" s="24" t="s">
        <v>209</v>
      </c>
    </row>
    <row r="31" spans="1:5" x14ac:dyDescent="0.25">
      <c r="A31" s="13" t="s">
        <v>118</v>
      </c>
      <c r="B31" s="16"/>
      <c r="C31" s="16"/>
      <c r="D31" s="13"/>
      <c r="E31" s="14"/>
    </row>
    <row r="32" spans="1:5" x14ac:dyDescent="0.25">
      <c r="A32" s="11" t="s">
        <v>119</v>
      </c>
      <c r="B32" s="30"/>
      <c r="C32" s="12"/>
      <c r="D32" s="13"/>
      <c r="E32" s="14"/>
    </row>
    <row r="33" spans="1:5" x14ac:dyDescent="0.25">
      <c r="A33" s="31"/>
      <c r="B33" s="120"/>
      <c r="C33" s="120"/>
      <c r="D33" s="33"/>
      <c r="E33" s="34"/>
    </row>
    <row r="34" spans="1:5" x14ac:dyDescent="0.25">
      <c r="A34" s="35" t="s">
        <v>120</v>
      </c>
      <c r="B34" s="39">
        <f>SUM(B5,B8,B12,B15,B16)</f>
        <v>61000000</v>
      </c>
      <c r="C34" s="39">
        <f>SUM(C5,C8,C12,C15,C16)</f>
        <v>36902601.330913492</v>
      </c>
    </row>
    <row r="35" spans="1:5" x14ac:dyDescent="0.25">
      <c r="A35" s="31"/>
      <c r="B35" s="39"/>
      <c r="C35" s="39"/>
    </row>
    <row r="36" spans="1:5" x14ac:dyDescent="0.25">
      <c r="A36" s="31" t="s">
        <v>121</v>
      </c>
      <c r="B36" s="88">
        <v>1.653</v>
      </c>
      <c r="C36" s="42"/>
    </row>
    <row r="37" spans="1:5" x14ac:dyDescent="0.25">
      <c r="A37" s="43" t="s">
        <v>122</v>
      </c>
      <c r="B37" s="44">
        <v>547811489</v>
      </c>
      <c r="C37" s="44">
        <v>360877133</v>
      </c>
    </row>
    <row r="38" spans="1:5" x14ac:dyDescent="0.25">
      <c r="A38" s="43" t="s">
        <v>123</v>
      </c>
      <c r="B38" s="44">
        <v>19301</v>
      </c>
      <c r="C38" s="44"/>
    </row>
    <row r="39" spans="1:5" x14ac:dyDescent="0.25">
      <c r="A39" s="43"/>
      <c r="B39" s="44"/>
      <c r="C39" s="44"/>
    </row>
    <row r="40" spans="1:5" x14ac:dyDescent="0.25">
      <c r="A40" s="5"/>
      <c r="B40" s="46" t="s">
        <v>179</v>
      </c>
      <c r="C40" s="47" t="s">
        <v>125</v>
      </c>
    </row>
    <row r="41" spans="1:5" x14ac:dyDescent="0.25">
      <c r="A41" s="43" t="s">
        <v>126</v>
      </c>
      <c r="B41" s="48">
        <f>$B37/$B$38</f>
        <v>28382.544375939069</v>
      </c>
      <c r="C41" s="48">
        <f>$C37/$B$38</f>
        <v>18697.328273146468</v>
      </c>
    </row>
    <row r="42" spans="1:5" x14ac:dyDescent="0.25">
      <c r="A42" s="43" t="s">
        <v>127</v>
      </c>
      <c r="B42" s="49">
        <f>($B34/$B37)*100</f>
        <v>11.135217355764512</v>
      </c>
      <c r="C42" s="49"/>
    </row>
    <row r="43" spans="1:5" x14ac:dyDescent="0.25">
      <c r="A43" s="43" t="s">
        <v>128</v>
      </c>
      <c r="B43" s="50">
        <f>$B34/$B$38</f>
        <v>3160.4580073571319</v>
      </c>
      <c r="C43" s="50">
        <f>$C34/$B$38</f>
        <v>1911.9528175179262</v>
      </c>
    </row>
    <row r="44" spans="1:5" x14ac:dyDescent="0.25">
      <c r="A44" s="43"/>
      <c r="B44" s="50"/>
      <c r="C44" s="50"/>
    </row>
    <row r="45" spans="1:5" x14ac:dyDescent="0.25">
      <c r="A45" s="336" t="s">
        <v>1054</v>
      </c>
      <c r="B45" s="50"/>
      <c r="C45" s="50"/>
    </row>
    <row r="46" spans="1:5" x14ac:dyDescent="0.25">
      <c r="A46" s="43"/>
      <c r="B46" s="51"/>
    </row>
    <row r="47" spans="1:5" x14ac:dyDescent="0.25">
      <c r="A47" s="43" t="s">
        <v>129</v>
      </c>
    </row>
    <row r="48" spans="1:5" ht="15.6" customHeight="1" x14ac:dyDescent="0.25">
      <c r="A48" s="53" t="s">
        <v>664</v>
      </c>
      <c r="B48" s="53"/>
      <c r="C48" s="53"/>
      <c r="D48" s="53"/>
      <c r="E48" s="53"/>
    </row>
    <row r="49" spans="1:5" ht="15.6" customHeight="1" x14ac:dyDescent="0.25">
      <c r="A49" s="53"/>
      <c r="B49" s="53"/>
      <c r="C49" s="53"/>
      <c r="D49" s="53"/>
      <c r="E49" s="53"/>
    </row>
    <row r="51" spans="1:5" x14ac:dyDescent="0.25">
      <c r="A51" s="43" t="s">
        <v>131</v>
      </c>
    </row>
    <row r="52" spans="1:5" s="38" customFormat="1" x14ac:dyDescent="0.3">
      <c r="A52" s="53" t="s">
        <v>664</v>
      </c>
      <c r="B52" s="55"/>
      <c r="C52" s="55"/>
      <c r="D52" s="55"/>
      <c r="E52" s="55"/>
    </row>
    <row r="53" spans="1:5" s="38" customFormat="1" x14ac:dyDescent="0.3">
      <c r="A53" s="230"/>
      <c r="B53" s="55"/>
      <c r="C53" s="55"/>
      <c r="D53" s="55"/>
      <c r="E53" s="55"/>
    </row>
    <row r="54" spans="1:5" s="38" customFormat="1" x14ac:dyDescent="0.3">
      <c r="B54" s="34"/>
      <c r="C54" s="34"/>
      <c r="D54" s="34"/>
      <c r="E54" s="34"/>
    </row>
    <row r="55" spans="1:5" x14ac:dyDescent="0.25">
      <c r="A55" s="364" t="s">
        <v>1069</v>
      </c>
      <c r="B55" s="364"/>
      <c r="C55" s="364"/>
      <c r="D55" s="364"/>
      <c r="E55" s="364"/>
    </row>
    <row r="56" spans="1:5" x14ac:dyDescent="0.25">
      <c r="A56" s="364"/>
      <c r="B56" s="364"/>
      <c r="C56" s="364"/>
      <c r="D56" s="364"/>
      <c r="E56" s="364"/>
    </row>
  </sheetData>
  <sheetProtection algorithmName="SHA-512" hashValue="F80kCtiIwhf2ohtcFW7uPm9Bgr7EU0lq0oSB3waMGNpF0qHu+CtxBAoJJtjknv9JDHz+SuakavSqI3z0umsH7w==" saltValue="D799lPOftDEARIX8vcUWSw==" spinCount="100000" sheet="1" formatCells="0" formatColumns="0" formatRows="0" insertColumns="0" insertRows="0" insertHyperlinks="0" deleteColumns="0" deleteRows="0" sort="0" autoFilter="0" pivotTables="0"/>
  <mergeCells count="1">
    <mergeCell ref="A55:E56"/>
  </mergeCells>
  <hyperlinks>
    <hyperlink ref="A2" location="Index!B35" display="[Back to Index]" xr:uid="{12E9AB1E-6792-49B1-8CB6-05A96A98FEC9}"/>
  </hyperlink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ECC5F-39D7-4F0F-8FA5-49151ACD427A}">
  <sheetPr codeName="Sheet14">
    <tabColor theme="8" tint="0.79998168889431442"/>
  </sheetPr>
  <dimension ref="A1:E59"/>
  <sheetViews>
    <sheetView zoomScaleNormal="100" workbookViewId="0">
      <pane xSplit="1" ySplit="4" topLeftCell="B8"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43</v>
      </c>
      <c r="B1" s="2" t="s">
        <v>73</v>
      </c>
      <c r="C1" s="80">
        <v>1.924202</v>
      </c>
      <c r="D1" s="4" t="s">
        <v>1045</v>
      </c>
    </row>
    <row r="2" spans="1:5" s="5" customFormat="1" x14ac:dyDescent="0.25">
      <c r="A2" s="324" t="s">
        <v>74</v>
      </c>
      <c r="C2" s="80">
        <v>0</v>
      </c>
      <c r="D2" s="4" t="s">
        <v>1046</v>
      </c>
    </row>
    <row r="3" spans="1:5" x14ac:dyDescent="0.25">
      <c r="A3" s="154"/>
      <c r="B3" s="222"/>
      <c r="C3" s="149"/>
    </row>
    <row r="4" spans="1:5" s="10" customFormat="1" x14ac:dyDescent="0.3">
      <c r="A4" s="8" t="s">
        <v>75</v>
      </c>
      <c r="B4" s="9" t="s">
        <v>713</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45" x14ac:dyDescent="0.25">
      <c r="A7" s="14" t="s">
        <v>84</v>
      </c>
      <c r="B7" s="17"/>
      <c r="C7" s="17"/>
      <c r="D7" s="150"/>
      <c r="E7" s="150"/>
    </row>
    <row r="8" spans="1:5" ht="30" x14ac:dyDescent="0.25">
      <c r="A8" s="11" t="s">
        <v>87</v>
      </c>
      <c r="B8" s="12">
        <f>SUM(B9:B11)</f>
        <v>0</v>
      </c>
      <c r="C8" s="12">
        <f>SUM(C9:C11)</f>
        <v>0</v>
      </c>
      <c r="D8" s="13"/>
      <c r="E8" s="14"/>
    </row>
    <row r="9" spans="1:5" ht="60" x14ac:dyDescent="0.25">
      <c r="A9" s="14" t="s">
        <v>88</v>
      </c>
      <c r="B9" s="16"/>
      <c r="C9" s="16"/>
      <c r="D9" s="13"/>
      <c r="E9" s="14"/>
    </row>
    <row r="10" spans="1:5" ht="60" x14ac:dyDescent="0.25">
      <c r="A10" s="14" t="s">
        <v>90</v>
      </c>
      <c r="B10" s="16"/>
      <c r="C10" s="16"/>
      <c r="D10" s="13" t="s">
        <v>714</v>
      </c>
      <c r="E10" s="14" t="s">
        <v>681</v>
      </c>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120" x14ac:dyDescent="0.25">
      <c r="A16" s="11" t="s">
        <v>98</v>
      </c>
      <c r="B16" s="12">
        <f>1*10^9</f>
        <v>1000000000</v>
      </c>
      <c r="C16" s="12">
        <f>B16/$B$36</f>
        <v>453720508.16696912</v>
      </c>
      <c r="D16" s="13" t="s">
        <v>1039</v>
      </c>
      <c r="E16" s="14" t="s">
        <v>686</v>
      </c>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2133472000.0000002</v>
      </c>
      <c r="C26" s="12">
        <f>SUM(C27:C29)</f>
        <v>968000000</v>
      </c>
      <c r="D26" s="13"/>
      <c r="E26" s="14"/>
    </row>
    <row r="27" spans="1:5" x14ac:dyDescent="0.25">
      <c r="A27" s="13" t="s">
        <v>112</v>
      </c>
      <c r="B27" s="16"/>
      <c r="C27" s="16"/>
      <c r="D27" s="13"/>
      <c r="E27" s="14"/>
    </row>
    <row r="28" spans="1:5" ht="60" x14ac:dyDescent="0.25">
      <c r="A28" s="13" t="s">
        <v>115</v>
      </c>
      <c r="B28" s="16">
        <f>C28*$B$36</f>
        <v>2133472000.0000002</v>
      </c>
      <c r="C28" s="16">
        <v>968000000</v>
      </c>
      <c r="D28" s="13" t="s">
        <v>715</v>
      </c>
      <c r="E28" s="14" t="s">
        <v>686</v>
      </c>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x14ac:dyDescent="0.25">
      <c r="A32" s="11" t="s">
        <v>119</v>
      </c>
      <c r="B32" s="30"/>
      <c r="C32" s="12"/>
      <c r="D32" s="13"/>
      <c r="E32" s="14"/>
    </row>
    <row r="33" spans="1:5" x14ac:dyDescent="0.25">
      <c r="A33" s="31"/>
      <c r="B33" s="219"/>
      <c r="C33" s="219"/>
      <c r="D33" s="33"/>
      <c r="E33" s="34"/>
    </row>
    <row r="34" spans="1:5" x14ac:dyDescent="0.25">
      <c r="A34" s="35" t="s">
        <v>120</v>
      </c>
      <c r="B34" s="39">
        <f>SUM(B5,B8,B12,B15,B16)</f>
        <v>1000000000</v>
      </c>
      <c r="C34" s="39">
        <f>SUM(C5,C8,C12,C15,C16)</f>
        <v>453720508.16696912</v>
      </c>
    </row>
    <row r="35" spans="1:5" x14ac:dyDescent="0.25">
      <c r="A35" s="31"/>
      <c r="B35" s="39"/>
      <c r="C35" s="40"/>
    </row>
    <row r="36" spans="1:5" x14ac:dyDescent="0.25">
      <c r="A36" s="31" t="s">
        <v>155</v>
      </c>
      <c r="B36" s="88">
        <v>2.2040000000000002</v>
      </c>
      <c r="C36" s="42"/>
    </row>
    <row r="37" spans="1:5" x14ac:dyDescent="0.25">
      <c r="A37" s="43" t="s">
        <v>122</v>
      </c>
      <c r="B37" s="45">
        <v>12226000000</v>
      </c>
      <c r="C37" s="45">
        <v>5708000000</v>
      </c>
    </row>
    <row r="38" spans="1:5" x14ac:dyDescent="0.25">
      <c r="A38" s="43" t="s">
        <v>123</v>
      </c>
      <c r="B38" s="45">
        <v>883483</v>
      </c>
      <c r="C38" s="45"/>
    </row>
    <row r="39" spans="1:5" x14ac:dyDescent="0.25">
      <c r="A39" s="43"/>
      <c r="B39" s="44"/>
      <c r="C39" s="44"/>
    </row>
    <row r="40" spans="1:5" x14ac:dyDescent="0.25">
      <c r="A40" s="5"/>
      <c r="B40" s="46" t="s">
        <v>716</v>
      </c>
      <c r="C40" s="47" t="s">
        <v>125</v>
      </c>
    </row>
    <row r="41" spans="1:5" x14ac:dyDescent="0.25">
      <c r="A41" s="43" t="s">
        <v>126</v>
      </c>
      <c r="B41" s="48">
        <f>$B37/$B$38</f>
        <v>13838.41002033995</v>
      </c>
      <c r="C41" s="48">
        <f>$C37/$B$38</f>
        <v>6460.792114845447</v>
      </c>
    </row>
    <row r="42" spans="1:5" x14ac:dyDescent="0.25">
      <c r="A42" s="43" t="s">
        <v>127</v>
      </c>
      <c r="B42" s="49">
        <f>($B34/$B37)*100</f>
        <v>8.1792900376247335</v>
      </c>
      <c r="C42" s="49"/>
    </row>
    <row r="43" spans="1:5" x14ac:dyDescent="0.25">
      <c r="A43" s="43" t="s">
        <v>128</v>
      </c>
      <c r="B43" s="50">
        <f>$B34/$B$38</f>
        <v>1131.8836921593286</v>
      </c>
      <c r="C43" s="50">
        <f>$C34/$B$38</f>
        <v>513.55884399243575</v>
      </c>
    </row>
    <row r="44" spans="1:5" x14ac:dyDescent="0.25">
      <c r="A44" s="43"/>
      <c r="B44" s="50"/>
      <c r="C44" s="50"/>
    </row>
    <row r="45" spans="1:5" x14ac:dyDescent="0.25">
      <c r="A45" s="335" t="s">
        <v>1052</v>
      </c>
      <c r="B45" s="50"/>
      <c r="C45" s="50"/>
    </row>
    <row r="46" spans="1:5" x14ac:dyDescent="0.25">
      <c r="A46" s="43"/>
      <c r="B46" s="51"/>
    </row>
    <row r="47" spans="1:5" x14ac:dyDescent="0.25">
      <c r="A47" s="43" t="s">
        <v>129</v>
      </c>
    </row>
    <row r="48" spans="1:5" ht="15.45" customHeight="1" x14ac:dyDescent="0.25">
      <c r="A48" s="53" t="s">
        <v>130</v>
      </c>
      <c r="B48" s="53"/>
      <c r="C48" s="53"/>
      <c r="D48" s="53"/>
      <c r="E48" s="53"/>
    </row>
    <row r="49" spans="1:5" ht="15.45" customHeight="1" x14ac:dyDescent="0.25">
      <c r="A49" s="53"/>
      <c r="B49" s="53"/>
      <c r="C49" s="53"/>
      <c r="D49" s="53"/>
      <c r="E49" s="53"/>
    </row>
    <row r="51" spans="1:5" x14ac:dyDescent="0.25">
      <c r="A51" s="43" t="s">
        <v>131</v>
      </c>
    </row>
    <row r="52" spans="1:5" s="38" customFormat="1" x14ac:dyDescent="0.25">
      <c r="A52" s="54" t="s">
        <v>717</v>
      </c>
      <c r="B52" s="37"/>
      <c r="C52" s="147"/>
      <c r="D52" s="37"/>
      <c r="E52" s="37"/>
    </row>
    <row r="53" spans="1:5" s="38" customFormat="1" x14ac:dyDescent="0.25">
      <c r="A53" s="37" t="s">
        <v>718</v>
      </c>
      <c r="B53" s="37"/>
      <c r="C53" s="147"/>
      <c r="D53" s="37"/>
      <c r="E53" s="37"/>
    </row>
    <row r="54" spans="1:5" s="38" customFormat="1" x14ac:dyDescent="0.25">
      <c r="A54" s="5" t="s">
        <v>698</v>
      </c>
      <c r="B54" s="37"/>
      <c r="C54" s="147"/>
      <c r="D54" s="37"/>
      <c r="E54" s="37"/>
    </row>
    <row r="55" spans="1:5" s="38" customFormat="1" x14ac:dyDescent="0.3">
      <c r="A55" s="34"/>
      <c r="B55" s="34"/>
      <c r="C55" s="34"/>
      <c r="D55" s="34"/>
      <c r="E55" s="34"/>
    </row>
    <row r="57" spans="1:5" ht="15" customHeight="1" x14ac:dyDescent="0.25">
      <c r="A57" s="364" t="s">
        <v>1061</v>
      </c>
      <c r="B57" s="364"/>
      <c r="C57" s="364"/>
      <c r="D57" s="364"/>
      <c r="E57" s="364"/>
    </row>
    <row r="58" spans="1:5" x14ac:dyDescent="0.25">
      <c r="A58" s="364"/>
      <c r="B58" s="364"/>
      <c r="C58" s="364"/>
      <c r="D58" s="364"/>
      <c r="E58" s="364"/>
    </row>
    <row r="59" spans="1:5" x14ac:dyDescent="0.25">
      <c r="A59" s="34"/>
      <c r="B59" s="34"/>
      <c r="C59" s="34"/>
      <c r="D59" s="34"/>
      <c r="E59" s="34"/>
    </row>
  </sheetData>
  <sheetProtection algorithmName="SHA-512" hashValue="aHOTqp+3K4U/9UyGeJRHD0+Dk3WcUMI5h+P5AnNf4vuRz+on5M45gWOXPUk09NBNNkTU5dEyTpQQAIRTpEQ4XA==" saltValue="p/6gFPxeN2WYmVYWjSoZ0g==" spinCount="100000" sheet="1" formatCells="0" formatColumns="0" formatRows="0" insertColumns="0" insertRows="0" insertHyperlinks="0" deleteColumns="0" deleteRows="0" sort="0" autoFilter="0" pivotTables="0"/>
  <mergeCells count="1">
    <mergeCell ref="A57:E58"/>
  </mergeCells>
  <hyperlinks>
    <hyperlink ref="A2" location="Index!B37" display="[Back to Index]" xr:uid="{9B8E0A86-984B-452D-BAA1-20EA50EDA4CD}"/>
  </hyperlink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F80CC-82AC-41D4-81C8-4EBA2DE883FF}">
  <sheetPr codeName="Sheet15">
    <tabColor theme="8" tint="0.79998168889431442"/>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40</v>
      </c>
      <c r="B1" s="2" t="s">
        <v>234</v>
      </c>
      <c r="C1" s="84">
        <v>0</v>
      </c>
      <c r="D1" s="4" t="s">
        <v>1045</v>
      </c>
    </row>
    <row r="2" spans="1:5" s="5" customFormat="1" x14ac:dyDescent="0.25">
      <c r="A2" s="324" t="s">
        <v>74</v>
      </c>
      <c r="C2" s="84">
        <v>0</v>
      </c>
      <c r="D2" s="4" t="s">
        <v>1046</v>
      </c>
    </row>
    <row r="3" spans="1:5" x14ac:dyDescent="0.25">
      <c r="A3" s="154"/>
      <c r="B3" s="222"/>
      <c r="C3" s="142"/>
    </row>
    <row r="4" spans="1:5" s="10" customFormat="1" x14ac:dyDescent="0.3">
      <c r="A4" s="8" t="s">
        <v>75</v>
      </c>
      <c r="B4" s="233" t="s">
        <v>77</v>
      </c>
      <c r="C4" s="234"/>
      <c r="D4" s="9" t="s">
        <v>78</v>
      </c>
      <c r="E4" s="8" t="s">
        <v>79</v>
      </c>
    </row>
    <row r="5" spans="1:5" s="15" customFormat="1" ht="60" x14ac:dyDescent="0.25">
      <c r="A5" s="11" t="s">
        <v>80</v>
      </c>
      <c r="B5" s="235">
        <f>SUM(B6:B7)</f>
        <v>0</v>
      </c>
      <c r="C5" s="236"/>
      <c r="D5" s="13"/>
      <c r="E5" s="14"/>
    </row>
    <row r="6" spans="1:5" s="15" customFormat="1" ht="45" x14ac:dyDescent="0.25">
      <c r="A6" s="14" t="s">
        <v>81</v>
      </c>
      <c r="B6" s="237"/>
      <c r="C6" s="238"/>
      <c r="D6" s="13"/>
      <c r="E6" s="14"/>
    </row>
    <row r="7" spans="1:5" s="15" customFormat="1" ht="45" x14ac:dyDescent="0.25">
      <c r="A7" s="14" t="s">
        <v>84</v>
      </c>
      <c r="B7" s="239"/>
      <c r="C7" s="240"/>
      <c r="D7" s="13"/>
      <c r="E7" s="13"/>
    </row>
    <row r="8" spans="1:5" ht="30" x14ac:dyDescent="0.25">
      <c r="A8" s="11" t="s">
        <v>87</v>
      </c>
      <c r="B8" s="235">
        <f>SUM(B9:B11)</f>
        <v>0</v>
      </c>
      <c r="C8" s="236"/>
      <c r="D8" s="13"/>
      <c r="E8" s="14"/>
    </row>
    <row r="9" spans="1:5" ht="60" x14ac:dyDescent="0.25">
      <c r="A9" s="14" t="s">
        <v>88</v>
      </c>
      <c r="B9" s="237"/>
      <c r="C9" s="238"/>
      <c r="D9" s="13"/>
      <c r="E9" s="14"/>
    </row>
    <row r="10" spans="1:5" ht="45" x14ac:dyDescent="0.25">
      <c r="A10" s="14" t="s">
        <v>90</v>
      </c>
      <c r="B10" s="237"/>
      <c r="C10" s="238"/>
      <c r="D10" s="64"/>
      <c r="E10" s="13"/>
    </row>
    <row r="11" spans="1:5" x14ac:dyDescent="0.25">
      <c r="A11" s="14" t="s">
        <v>92</v>
      </c>
      <c r="B11" s="241"/>
      <c r="C11" s="242"/>
      <c r="D11" s="13"/>
      <c r="E11" s="14"/>
    </row>
    <row r="12" spans="1:5" ht="45" x14ac:dyDescent="0.25">
      <c r="A12" s="11" t="s">
        <v>93</v>
      </c>
      <c r="B12" s="235">
        <f>SUM(B13:B14)</f>
        <v>0</v>
      </c>
      <c r="C12" s="236"/>
      <c r="D12" s="13"/>
      <c r="E12" s="14"/>
    </row>
    <row r="13" spans="1:5" ht="45" x14ac:dyDescent="0.25">
      <c r="A13" s="14" t="s">
        <v>94</v>
      </c>
      <c r="B13" s="243"/>
      <c r="C13" s="244"/>
      <c r="D13" s="13"/>
      <c r="E13" s="14"/>
    </row>
    <row r="14" spans="1:5" x14ac:dyDescent="0.25">
      <c r="A14" s="14" t="s">
        <v>96</v>
      </c>
      <c r="B14" s="237"/>
      <c r="C14" s="238"/>
      <c r="D14" s="13"/>
      <c r="E14" s="14"/>
    </row>
    <row r="15" spans="1:5" ht="45" x14ac:dyDescent="0.25">
      <c r="A15" s="11" t="s">
        <v>97</v>
      </c>
      <c r="B15" s="235"/>
      <c r="C15" s="236"/>
      <c r="D15" s="13"/>
      <c r="E15" s="14"/>
    </row>
    <row r="16" spans="1:5" ht="60" x14ac:dyDescent="0.25">
      <c r="A16" s="11" t="s">
        <v>98</v>
      </c>
      <c r="B16" s="235">
        <f>SUM(B17:B18)</f>
        <v>0</v>
      </c>
      <c r="C16" s="236"/>
      <c r="D16" s="13" t="s">
        <v>831</v>
      </c>
      <c r="E16" s="14" t="s">
        <v>165</v>
      </c>
    </row>
    <row r="17" spans="1:5" x14ac:dyDescent="0.25">
      <c r="A17" s="13" t="s">
        <v>99</v>
      </c>
      <c r="B17" s="245"/>
      <c r="C17" s="244"/>
      <c r="D17" s="57"/>
      <c r="E17" s="14"/>
    </row>
    <row r="18" spans="1:5" x14ac:dyDescent="0.25">
      <c r="A18" s="13" t="s">
        <v>101</v>
      </c>
      <c r="B18" s="243"/>
      <c r="C18" s="244"/>
      <c r="D18" s="102"/>
      <c r="E18" s="13"/>
    </row>
    <row r="19" spans="1:5" ht="30" x14ac:dyDescent="0.25">
      <c r="A19" s="11" t="s">
        <v>103</v>
      </c>
      <c r="B19" s="235"/>
      <c r="C19" s="236"/>
      <c r="D19" s="13"/>
      <c r="E19" s="14"/>
    </row>
    <row r="20" spans="1:5" x14ac:dyDescent="0.25">
      <c r="A20" s="14" t="s">
        <v>104</v>
      </c>
      <c r="B20" s="237"/>
      <c r="C20" s="238"/>
      <c r="D20" s="13"/>
      <c r="E20" s="21"/>
    </row>
    <row r="21" spans="1:5" ht="30" x14ac:dyDescent="0.25">
      <c r="A21" s="22" t="s">
        <v>105</v>
      </c>
      <c r="B21" s="235">
        <f>SUM(B22,B24)</f>
        <v>0</v>
      </c>
      <c r="C21" s="236"/>
      <c r="D21" s="13"/>
      <c r="E21" s="14"/>
    </row>
    <row r="22" spans="1:5" x14ac:dyDescent="0.25">
      <c r="A22" s="22" t="s">
        <v>108</v>
      </c>
      <c r="B22" s="237"/>
      <c r="C22" s="238"/>
      <c r="D22" s="13"/>
      <c r="E22" s="14"/>
    </row>
    <row r="23" spans="1:5" x14ac:dyDescent="0.25">
      <c r="A23" s="13" t="s">
        <v>643</v>
      </c>
      <c r="B23" s="237"/>
      <c r="C23" s="238"/>
      <c r="D23" s="13"/>
      <c r="E23" s="14"/>
    </row>
    <row r="24" spans="1:5" x14ac:dyDescent="0.25">
      <c r="A24" s="22" t="s">
        <v>110</v>
      </c>
      <c r="B24" s="243"/>
      <c r="C24" s="244"/>
      <c r="D24" s="24"/>
      <c r="E24" s="14"/>
    </row>
    <row r="25" spans="1:5" x14ac:dyDescent="0.25">
      <c r="A25" s="13" t="s">
        <v>109</v>
      </c>
      <c r="B25" s="237"/>
      <c r="C25" s="244"/>
      <c r="D25" s="13"/>
      <c r="E25" s="14"/>
    </row>
    <row r="26" spans="1:5" x14ac:dyDescent="0.25">
      <c r="A26" s="22" t="s">
        <v>111</v>
      </c>
      <c r="B26" s="235">
        <f>SUM(B27:B29)</f>
        <v>0</v>
      </c>
      <c r="C26" s="236"/>
      <c r="D26" s="13"/>
      <c r="E26" s="14"/>
    </row>
    <row r="27" spans="1:5" x14ac:dyDescent="0.25">
      <c r="A27" s="13" t="s">
        <v>112</v>
      </c>
      <c r="B27" s="237"/>
      <c r="C27" s="238"/>
      <c r="D27" s="13"/>
      <c r="E27" s="14"/>
    </row>
    <row r="28" spans="1:5" x14ac:dyDescent="0.25">
      <c r="A28" s="13" t="s">
        <v>115</v>
      </c>
      <c r="B28" s="237"/>
      <c r="C28" s="238"/>
      <c r="D28" s="13"/>
      <c r="E28" s="13"/>
    </row>
    <row r="29" spans="1:5" x14ac:dyDescent="0.25">
      <c r="A29" s="13" t="s">
        <v>116</v>
      </c>
      <c r="B29" s="237">
        <f>SUM(B30:B31)</f>
        <v>0</v>
      </c>
      <c r="C29" s="238"/>
      <c r="D29" s="13"/>
      <c r="E29" s="14"/>
    </row>
    <row r="30" spans="1:5" x14ac:dyDescent="0.25">
      <c r="A30" s="13" t="s">
        <v>117</v>
      </c>
      <c r="B30" s="237"/>
      <c r="C30" s="238"/>
      <c r="D30" s="83"/>
      <c r="E30" s="24"/>
    </row>
    <row r="31" spans="1:5" x14ac:dyDescent="0.25">
      <c r="A31" s="13" t="s">
        <v>118</v>
      </c>
      <c r="B31" s="237"/>
      <c r="C31" s="238"/>
      <c r="D31" s="13"/>
      <c r="E31" s="14"/>
    </row>
    <row r="32" spans="1:5" x14ac:dyDescent="0.25">
      <c r="A32" s="11" t="s">
        <v>119</v>
      </c>
      <c r="B32" s="246"/>
      <c r="C32" s="236"/>
      <c r="D32" s="13"/>
      <c r="E32" s="14"/>
    </row>
    <row r="33" spans="1:5" x14ac:dyDescent="0.25">
      <c r="A33" s="31"/>
      <c r="B33" s="219"/>
      <c r="C33" s="219"/>
      <c r="D33" s="33"/>
      <c r="E33" s="34"/>
    </row>
    <row r="34" spans="1:5" x14ac:dyDescent="0.25">
      <c r="A34" s="35" t="s">
        <v>120</v>
      </c>
      <c r="B34" s="103">
        <f>SUM(B5,B8,B12,B15,B16)</f>
        <v>0</v>
      </c>
      <c r="C34" s="103"/>
    </row>
    <row r="35" spans="1:5" x14ac:dyDescent="0.25">
      <c r="A35" s="31"/>
      <c r="B35" s="39"/>
      <c r="C35" s="40"/>
    </row>
    <row r="36" spans="1:5" x14ac:dyDescent="0.25">
      <c r="A36" s="31" t="s">
        <v>121</v>
      </c>
      <c r="B36" s="88">
        <v>1</v>
      </c>
      <c r="C36" s="42"/>
    </row>
    <row r="37" spans="1:5" x14ac:dyDescent="0.25">
      <c r="A37" s="43" t="s">
        <v>122</v>
      </c>
      <c r="B37" s="45">
        <v>381000000</v>
      </c>
      <c r="C37" s="45"/>
    </row>
    <row r="38" spans="1:5" x14ac:dyDescent="0.25">
      <c r="A38" s="43" t="s">
        <v>123</v>
      </c>
      <c r="B38" s="45">
        <v>112640</v>
      </c>
      <c r="C38" s="45"/>
    </row>
    <row r="39" spans="1:5" x14ac:dyDescent="0.25">
      <c r="A39" s="43"/>
      <c r="B39" s="44"/>
      <c r="C39" s="44"/>
    </row>
    <row r="40" spans="1:5" x14ac:dyDescent="0.25">
      <c r="A40" s="5"/>
      <c r="B40" s="46" t="s">
        <v>125</v>
      </c>
      <c r="C40" s="47"/>
    </row>
    <row r="41" spans="1:5" x14ac:dyDescent="0.25">
      <c r="A41" s="43" t="s">
        <v>126</v>
      </c>
      <c r="B41" s="48">
        <f>$B37/$B$38</f>
        <v>3382.4573863636365</v>
      </c>
      <c r="C41" s="48"/>
    </row>
    <row r="42" spans="1:5" x14ac:dyDescent="0.25">
      <c r="A42" s="43" t="s">
        <v>127</v>
      </c>
      <c r="B42" s="96">
        <f>($B34/$B37)*100</f>
        <v>0</v>
      </c>
      <c r="C42" s="96"/>
    </row>
    <row r="43" spans="1:5" x14ac:dyDescent="0.25">
      <c r="A43" s="43" t="s">
        <v>128</v>
      </c>
      <c r="B43" s="105">
        <f>$B34/$B$38</f>
        <v>0</v>
      </c>
      <c r="C43" s="105"/>
    </row>
    <row r="44" spans="1:5" x14ac:dyDescent="0.25">
      <c r="A44" s="43"/>
      <c r="B44" s="50"/>
      <c r="C44" s="50"/>
    </row>
    <row r="45" spans="1:5" x14ac:dyDescent="0.25">
      <c r="A45" s="335" t="s">
        <v>1052</v>
      </c>
      <c r="B45" s="50"/>
      <c r="C45" s="50"/>
    </row>
    <row r="46" spans="1:5" x14ac:dyDescent="0.25">
      <c r="A46" s="43"/>
      <c r="B46" s="51"/>
    </row>
    <row r="47" spans="1:5" x14ac:dyDescent="0.25">
      <c r="A47" s="43" t="s">
        <v>129</v>
      </c>
    </row>
    <row r="48" spans="1:5" ht="15.45" customHeight="1" x14ac:dyDescent="0.25">
      <c r="A48" s="5" t="s">
        <v>832</v>
      </c>
      <c r="B48" s="53"/>
      <c r="C48" s="53"/>
      <c r="D48" s="53"/>
      <c r="E48" s="53"/>
    </row>
    <row r="49" spans="1:5" ht="15.45" customHeight="1" x14ac:dyDescent="0.25">
      <c r="A49" s="5" t="s">
        <v>833</v>
      </c>
      <c r="B49" s="53"/>
      <c r="C49" s="53"/>
      <c r="D49" s="53"/>
      <c r="E49" s="53"/>
    </row>
    <row r="50" spans="1:5" ht="15.45" customHeight="1" x14ac:dyDescent="0.25">
      <c r="A50" s="5" t="s">
        <v>136</v>
      </c>
      <c r="B50" s="53"/>
      <c r="C50" s="53"/>
      <c r="D50" s="53"/>
      <c r="E50" s="53"/>
    </row>
    <row r="51" spans="1:5" ht="15.45" customHeight="1" x14ac:dyDescent="0.25">
      <c r="A51" s="5"/>
      <c r="B51" s="53"/>
      <c r="C51" s="53"/>
      <c r="D51" s="53"/>
      <c r="E51" s="53"/>
    </row>
    <row r="53" spans="1:5" x14ac:dyDescent="0.25">
      <c r="A53" s="43" t="s">
        <v>131</v>
      </c>
    </row>
    <row r="54" spans="1:5" s="38" customFormat="1" x14ac:dyDescent="0.25">
      <c r="A54" s="54" t="s">
        <v>834</v>
      </c>
      <c r="B54" s="37"/>
      <c r="C54" s="147"/>
      <c r="D54" s="37"/>
      <c r="E54" s="37"/>
    </row>
    <row r="55" spans="1:5" s="38" customFormat="1" x14ac:dyDescent="0.25">
      <c r="A55" s="37" t="s">
        <v>835</v>
      </c>
      <c r="B55" s="37"/>
      <c r="C55" s="147"/>
      <c r="D55" s="37"/>
      <c r="E55" s="37"/>
    </row>
    <row r="56" spans="1:5" s="38" customFormat="1" x14ac:dyDescent="0.25">
      <c r="A56" s="5" t="s">
        <v>136</v>
      </c>
      <c r="B56" s="37"/>
      <c r="C56" s="147"/>
      <c r="D56" s="37"/>
      <c r="E56" s="37"/>
    </row>
    <row r="57" spans="1:5" s="38" customFormat="1" x14ac:dyDescent="0.3">
      <c r="A57" s="34"/>
      <c r="B57" s="34"/>
      <c r="C57" s="34"/>
      <c r="D57" s="34"/>
      <c r="E57" s="34"/>
    </row>
    <row r="58" spans="1:5" s="38" customFormat="1" x14ac:dyDescent="0.25">
      <c r="A58" s="5"/>
      <c r="D58" s="37"/>
    </row>
    <row r="59" spans="1:5" x14ac:dyDescent="0.25">
      <c r="A59" s="364" t="s">
        <v>1062</v>
      </c>
      <c r="B59" s="364"/>
      <c r="C59" s="364"/>
      <c r="D59" s="364"/>
      <c r="E59" s="364"/>
    </row>
    <row r="60" spans="1:5" x14ac:dyDescent="0.25">
      <c r="A60" s="364"/>
      <c r="B60" s="364"/>
      <c r="C60" s="364"/>
      <c r="D60" s="364"/>
      <c r="E60" s="364"/>
    </row>
  </sheetData>
  <sheetProtection algorithmName="SHA-512" hashValue="ws73sTsDgI583lBYP9UAu73QVMpNhOrudXJQhq3YMZwU8bAzBRrW2b1eC41xT6Wv7ciWIzsIa/Ww3A/ygQ30GA==" saltValue="iPGWnAentTBIGlDC4tweFw==" spinCount="100000" sheet="1" formatCells="0" formatColumns="0" formatRows="0" insertColumns="0" insertRows="0" insertHyperlinks="0" deleteColumns="0" deleteRows="0" sort="0" autoFilter="0" pivotTables="0"/>
  <mergeCells count="1">
    <mergeCell ref="A59:E60"/>
  </mergeCells>
  <hyperlinks>
    <hyperlink ref="A2" location="Index!B36" display="[Back to Index]" xr:uid="{FBFC77F5-A99A-45B9-A445-477164A3B5EA}"/>
  </hyperlink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B3F29-852B-42B1-A891-8525496840A1}">
  <sheetPr codeName="Sheet16">
    <tabColor theme="8" tint="0.79998168889431442"/>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46</v>
      </c>
      <c r="B1" s="2" t="s">
        <v>234</v>
      </c>
      <c r="C1" s="80">
        <v>0</v>
      </c>
      <c r="D1" s="4" t="s">
        <v>1045</v>
      </c>
    </row>
    <row r="2" spans="1:5" s="5" customFormat="1" x14ac:dyDescent="0.25">
      <c r="A2" s="324" t="s">
        <v>74</v>
      </c>
      <c r="C2" s="80">
        <v>0</v>
      </c>
      <c r="D2" s="4" t="s">
        <v>1046</v>
      </c>
    </row>
    <row r="3" spans="1:5" x14ac:dyDescent="0.25">
      <c r="A3" s="154"/>
      <c r="B3" s="222"/>
      <c r="C3" s="142"/>
    </row>
    <row r="4" spans="1:5" s="10" customFormat="1" x14ac:dyDescent="0.3">
      <c r="A4" s="8" t="s">
        <v>75</v>
      </c>
      <c r="B4" s="9" t="s">
        <v>137</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45" x14ac:dyDescent="0.25">
      <c r="A7" s="14" t="s">
        <v>84</v>
      </c>
      <c r="B7" s="17"/>
      <c r="C7" s="17"/>
      <c r="D7" s="13"/>
      <c r="E7" s="14"/>
    </row>
    <row r="8" spans="1:5" ht="30" x14ac:dyDescent="0.25">
      <c r="A8" s="11" t="s">
        <v>87</v>
      </c>
      <c r="B8" s="12">
        <f>SUM(B9:B11)</f>
        <v>0</v>
      </c>
      <c r="C8" s="12">
        <f>SUM(C9:C11)</f>
        <v>0</v>
      </c>
      <c r="D8" s="13"/>
      <c r="E8" s="14"/>
    </row>
    <row r="9" spans="1:5" ht="60" x14ac:dyDescent="0.25">
      <c r="A9" s="14" t="s">
        <v>88</v>
      </c>
      <c r="B9" s="16"/>
      <c r="C9" s="16"/>
      <c r="D9" s="13"/>
      <c r="E9" s="14"/>
    </row>
    <row r="10" spans="1:5" ht="45" x14ac:dyDescent="0.25">
      <c r="A10" s="14" t="s">
        <v>90</v>
      </c>
      <c r="B10" s="16"/>
      <c r="C10" s="16"/>
      <c r="D10" s="13"/>
      <c r="E10" s="14"/>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30" x14ac:dyDescent="0.25">
      <c r="A16" s="11" t="s">
        <v>98</v>
      </c>
      <c r="B16" s="12">
        <f>SUM(B17:B18)</f>
        <v>0</v>
      </c>
      <c r="C16" s="12">
        <f>SUM(C17:C18)</f>
        <v>0</v>
      </c>
      <c r="D16" s="13"/>
      <c r="E16" s="14"/>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299600</v>
      </c>
      <c r="C26" s="12">
        <f>SUM(C27:C29)</f>
        <v>200000</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6">
        <f>SUM(B30:B31)</f>
        <v>299600</v>
      </c>
      <c r="C29" s="16">
        <f>SUM(C30:C31)</f>
        <v>200000</v>
      </c>
      <c r="D29" s="13"/>
      <c r="E29" s="14"/>
    </row>
    <row r="30" spans="1:5" x14ac:dyDescent="0.25">
      <c r="A30" s="13" t="s">
        <v>117</v>
      </c>
      <c r="B30" s="16">
        <f>C30*$B$36</f>
        <v>299600</v>
      </c>
      <c r="C30" s="16">
        <f>0.2*10^6</f>
        <v>200000</v>
      </c>
      <c r="D30" s="83" t="s">
        <v>776</v>
      </c>
      <c r="E30" s="24" t="s">
        <v>209</v>
      </c>
    </row>
    <row r="31" spans="1:5" x14ac:dyDescent="0.25">
      <c r="A31" s="13" t="s">
        <v>118</v>
      </c>
      <c r="B31" s="16"/>
      <c r="C31" s="16"/>
      <c r="D31" s="13"/>
      <c r="E31" s="14"/>
    </row>
    <row r="32" spans="1:5" x14ac:dyDescent="0.25">
      <c r="A32" s="11" t="s">
        <v>119</v>
      </c>
      <c r="B32" s="30"/>
      <c r="C32" s="12"/>
      <c r="D32" s="13"/>
      <c r="E32" s="14"/>
    </row>
    <row r="33" spans="1:5" x14ac:dyDescent="0.25">
      <c r="A33" s="31"/>
      <c r="B33" s="120"/>
      <c r="C33" s="120"/>
      <c r="D33" s="33"/>
      <c r="E33" s="34"/>
    </row>
    <row r="34" spans="1:5" x14ac:dyDescent="0.25">
      <c r="A34" s="35" t="s">
        <v>120</v>
      </c>
      <c r="B34" s="121">
        <f>SUM(B5,B8,B12,B15,B16)</f>
        <v>0</v>
      </c>
      <c r="C34" s="121">
        <f>SUM(C5,C8,C12,C15,C16)</f>
        <v>0</v>
      </c>
    </row>
    <row r="35" spans="1:5" x14ac:dyDescent="0.25">
      <c r="A35" s="31"/>
      <c r="B35" s="39"/>
      <c r="C35" s="40"/>
    </row>
    <row r="36" spans="1:5" x14ac:dyDescent="0.25">
      <c r="A36" s="31" t="s">
        <v>121</v>
      </c>
      <c r="B36" s="88">
        <v>1.498</v>
      </c>
      <c r="C36" s="42"/>
    </row>
    <row r="37" spans="1:5" x14ac:dyDescent="0.25">
      <c r="A37" s="43" t="s">
        <v>122</v>
      </c>
      <c r="B37" s="45">
        <v>263000000</v>
      </c>
      <c r="C37" s="45">
        <v>184000000</v>
      </c>
    </row>
    <row r="38" spans="1:5" x14ac:dyDescent="0.25">
      <c r="A38" s="43" t="s">
        <v>123</v>
      </c>
      <c r="B38" s="45">
        <v>115847</v>
      </c>
      <c r="C38" s="45"/>
    </row>
    <row r="39" spans="1:5" x14ac:dyDescent="0.25">
      <c r="A39" s="43"/>
      <c r="B39" s="44"/>
      <c r="C39" s="44"/>
    </row>
    <row r="40" spans="1:5" x14ac:dyDescent="0.25">
      <c r="A40" s="5"/>
      <c r="B40" s="46" t="s">
        <v>156</v>
      </c>
      <c r="C40" s="47" t="s">
        <v>125</v>
      </c>
    </row>
    <row r="41" spans="1:5" x14ac:dyDescent="0.25">
      <c r="A41" s="43" t="s">
        <v>126</v>
      </c>
      <c r="B41" s="48">
        <f>$B37/$B$38</f>
        <v>2270.235741970012</v>
      </c>
      <c r="C41" s="48">
        <f>$C37/$B$38</f>
        <v>1588.3018118725561</v>
      </c>
    </row>
    <row r="42" spans="1:5" x14ac:dyDescent="0.25">
      <c r="A42" s="43" t="s">
        <v>127</v>
      </c>
      <c r="B42" s="96">
        <f>($B34/$B37)*100</f>
        <v>0</v>
      </c>
      <c r="C42" s="96"/>
    </row>
    <row r="43" spans="1:5" x14ac:dyDescent="0.25">
      <c r="A43" s="43" t="s">
        <v>128</v>
      </c>
      <c r="B43" s="105">
        <f>$B34/$B$38</f>
        <v>0</v>
      </c>
      <c r="C43" s="105">
        <f>$C34/$B$38</f>
        <v>0</v>
      </c>
    </row>
    <row r="44" spans="1:5" x14ac:dyDescent="0.25">
      <c r="A44" s="43"/>
      <c r="B44" s="50"/>
      <c r="C44" s="50"/>
    </row>
    <row r="45" spans="1:5" x14ac:dyDescent="0.25">
      <c r="A45" s="335" t="s">
        <v>1056</v>
      </c>
      <c r="B45" s="50"/>
      <c r="C45" s="50"/>
    </row>
    <row r="46" spans="1:5" x14ac:dyDescent="0.25">
      <c r="A46" s="43"/>
      <c r="B46" s="51"/>
    </row>
    <row r="47" spans="1:5" x14ac:dyDescent="0.25">
      <c r="A47" s="43" t="s">
        <v>129</v>
      </c>
    </row>
    <row r="48" spans="1:5" ht="15.6" customHeight="1" x14ac:dyDescent="0.25">
      <c r="A48" s="53" t="s">
        <v>664</v>
      </c>
      <c r="B48" s="53"/>
      <c r="C48" s="53"/>
      <c r="D48" s="53"/>
      <c r="E48" s="53"/>
    </row>
    <row r="49" spans="1:5" ht="15.6" customHeight="1" x14ac:dyDescent="0.25">
      <c r="A49" s="53"/>
      <c r="B49" s="53"/>
      <c r="C49" s="53"/>
      <c r="D49" s="53"/>
      <c r="E49" s="53"/>
    </row>
    <row r="51" spans="1:5" x14ac:dyDescent="0.25">
      <c r="A51" s="43" t="s">
        <v>131</v>
      </c>
    </row>
    <row r="52" spans="1:5" s="38" customFormat="1" x14ac:dyDescent="0.3">
      <c r="A52" s="230" t="s">
        <v>777</v>
      </c>
      <c r="B52" s="55"/>
      <c r="C52" s="55"/>
      <c r="D52" s="55"/>
      <c r="E52" s="55"/>
    </row>
    <row r="53" spans="1:5" s="38" customFormat="1" x14ac:dyDescent="0.3">
      <c r="A53" s="365" t="s">
        <v>778</v>
      </c>
      <c r="B53" s="365"/>
      <c r="C53" s="365"/>
      <c r="D53" s="365"/>
      <c r="E53" s="365"/>
    </row>
    <row r="54" spans="1:5" s="38" customFormat="1" x14ac:dyDescent="0.3">
      <c r="A54" s="365"/>
      <c r="B54" s="365"/>
      <c r="C54" s="365"/>
      <c r="D54" s="365"/>
      <c r="E54" s="365"/>
    </row>
    <row r="55" spans="1:5" s="38" customFormat="1" x14ac:dyDescent="0.3">
      <c r="A55" s="38" t="s">
        <v>779</v>
      </c>
      <c r="B55" s="34"/>
      <c r="C55" s="34"/>
      <c r="D55" s="34"/>
      <c r="E55" s="34"/>
    </row>
    <row r="56" spans="1:5" s="38" customFormat="1" x14ac:dyDescent="0.25">
      <c r="A56" s="5" t="s">
        <v>772</v>
      </c>
      <c r="D56" s="37"/>
    </row>
    <row r="57" spans="1:5" s="38" customFormat="1" x14ac:dyDescent="0.25">
      <c r="D57" s="37"/>
    </row>
    <row r="59" spans="1:5" x14ac:dyDescent="0.25">
      <c r="A59" s="364" t="s">
        <v>1063</v>
      </c>
      <c r="B59" s="364"/>
      <c r="C59" s="364"/>
      <c r="D59" s="364"/>
      <c r="E59" s="364"/>
    </row>
    <row r="60" spans="1:5" x14ac:dyDescent="0.25">
      <c r="A60" s="364"/>
      <c r="B60" s="364"/>
      <c r="C60" s="364"/>
      <c r="D60" s="364"/>
      <c r="E60" s="364"/>
    </row>
  </sheetData>
  <sheetProtection algorithmName="SHA-512" hashValue="R+3Zuro1saApgNJloQ+xo+zGluQJPbpigfzu+cXtV4C1rNRN6Qls3vk0I7GIX8a/COaOAQcyxbXY0dUHP+/eVA==" saltValue="d0mc1RH1QmrUwgj3HQLuyw==" spinCount="100000" sheet="1" formatCells="0" formatColumns="0" formatRows="0" insertColumns="0" insertRows="0" insertHyperlinks="0" deleteColumns="0" deleteRows="0" sort="0" autoFilter="0" pivotTables="0"/>
  <mergeCells count="2">
    <mergeCell ref="A59:E60"/>
    <mergeCell ref="A53:E54"/>
  </mergeCells>
  <hyperlinks>
    <hyperlink ref="A2" location="Index!B38" display="[Back to Index]" xr:uid="{DBBF6D5E-ED34-4480-91C5-B5DD708D2DAD}"/>
  </hyperlink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FCCF-91DB-421E-ABEA-76AE85F59E13}">
  <sheetPr codeName="Sheet17">
    <tabColor theme="8" tint="0.79998168889431442"/>
  </sheetPr>
  <dimension ref="A1:E59"/>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70" customWidth="1"/>
    <col min="2" max="2" width="27.5546875" style="70" customWidth="1"/>
    <col min="3" max="3" width="27.6640625" style="70" customWidth="1"/>
    <col min="4" max="4" width="95.6640625" style="37" customWidth="1"/>
    <col min="5" max="5" width="40.6640625" style="70" customWidth="1"/>
    <col min="6" max="16384" width="8.6640625" style="37"/>
  </cols>
  <sheetData>
    <row r="1" spans="1:5" s="7" customFormat="1" ht="17.399999999999999" x14ac:dyDescent="0.25">
      <c r="A1" s="112" t="s">
        <v>51</v>
      </c>
      <c r="B1" s="2" t="s">
        <v>234</v>
      </c>
      <c r="C1" s="84">
        <v>0</v>
      </c>
      <c r="D1" s="4" t="s">
        <v>1045</v>
      </c>
    </row>
    <row r="2" spans="1:5" s="7" customFormat="1" x14ac:dyDescent="0.25">
      <c r="A2" s="324" t="s">
        <v>74</v>
      </c>
      <c r="C2" s="84">
        <v>0</v>
      </c>
      <c r="D2" s="4" t="s">
        <v>1046</v>
      </c>
    </row>
    <row r="3" spans="1:5" x14ac:dyDescent="0.25">
      <c r="A3" s="35"/>
      <c r="B3" s="174"/>
      <c r="C3" s="175"/>
    </row>
    <row r="4" spans="1:5" s="62" customFormat="1" x14ac:dyDescent="0.3">
      <c r="A4" s="9" t="s">
        <v>75</v>
      </c>
      <c r="B4" s="9" t="s">
        <v>137</v>
      </c>
      <c r="C4" s="9" t="s">
        <v>77</v>
      </c>
      <c r="D4" s="9" t="s">
        <v>78</v>
      </c>
      <c r="E4" s="9" t="s">
        <v>79</v>
      </c>
    </row>
    <row r="5" spans="1:5" s="63" customFormat="1" ht="60" x14ac:dyDescent="0.25">
      <c r="A5" s="22" t="s">
        <v>80</v>
      </c>
      <c r="B5" s="97">
        <f>SUM(B6:B7)</f>
        <v>0</v>
      </c>
      <c r="C5" s="97">
        <f>SUM(C6:C7)</f>
        <v>0</v>
      </c>
      <c r="D5" s="13"/>
      <c r="E5" s="13"/>
    </row>
    <row r="6" spans="1:5" s="63" customFormat="1" ht="45" x14ac:dyDescent="0.25">
      <c r="A6" s="13" t="s">
        <v>81</v>
      </c>
      <c r="B6" s="97"/>
      <c r="C6" s="97"/>
      <c r="D6" s="13"/>
      <c r="E6" s="13"/>
    </row>
    <row r="7" spans="1:5" s="63" customFormat="1" ht="45" x14ac:dyDescent="0.25">
      <c r="A7" s="13" t="s">
        <v>84</v>
      </c>
      <c r="B7" s="98"/>
      <c r="C7" s="98"/>
      <c r="D7" s="13"/>
      <c r="E7" s="13"/>
    </row>
    <row r="8" spans="1:5" ht="30" x14ac:dyDescent="0.25">
      <c r="A8" s="22" t="s">
        <v>87</v>
      </c>
      <c r="B8" s="97">
        <f>SUM(B9:B11)</f>
        <v>0</v>
      </c>
      <c r="C8" s="97">
        <f>SUM(C9:C11)</f>
        <v>0</v>
      </c>
      <c r="D8" s="13"/>
      <c r="E8" s="13"/>
    </row>
    <row r="9" spans="1:5" ht="60" x14ac:dyDescent="0.25">
      <c r="A9" s="13" t="s">
        <v>166</v>
      </c>
      <c r="B9" s="97"/>
      <c r="C9" s="97"/>
      <c r="D9" s="13"/>
      <c r="E9" s="13"/>
    </row>
    <row r="10" spans="1:5" ht="45" x14ac:dyDescent="0.25">
      <c r="A10" s="13" t="s">
        <v>90</v>
      </c>
      <c r="B10" s="97"/>
      <c r="C10" s="97"/>
      <c r="D10" s="64"/>
      <c r="E10" s="13"/>
    </row>
    <row r="11" spans="1:5" x14ac:dyDescent="0.25">
      <c r="A11" s="13" t="s">
        <v>92</v>
      </c>
      <c r="B11" s="97"/>
      <c r="C11" s="97"/>
      <c r="D11" s="13"/>
      <c r="E11" s="13"/>
    </row>
    <row r="12" spans="1:5" ht="45" x14ac:dyDescent="0.25">
      <c r="A12" s="22" t="s">
        <v>93</v>
      </c>
      <c r="B12" s="97">
        <f>SUM(B13:B14)</f>
        <v>0</v>
      </c>
      <c r="C12" s="97">
        <f>SUM(C13:C14)</f>
        <v>0</v>
      </c>
      <c r="D12" s="13"/>
      <c r="E12" s="13"/>
    </row>
    <row r="13" spans="1:5" ht="45" x14ac:dyDescent="0.25">
      <c r="A13" s="13" t="s">
        <v>171</v>
      </c>
      <c r="B13" s="193"/>
      <c r="C13" s="193"/>
      <c r="D13" s="13"/>
      <c r="E13" s="13"/>
    </row>
    <row r="14" spans="1:5" x14ac:dyDescent="0.25">
      <c r="A14" s="13" t="s">
        <v>96</v>
      </c>
      <c r="B14" s="97"/>
      <c r="C14" s="97"/>
      <c r="D14" s="13"/>
      <c r="E14" s="13"/>
    </row>
    <row r="15" spans="1:5" ht="45" x14ac:dyDescent="0.25">
      <c r="A15" s="22" t="s">
        <v>97</v>
      </c>
      <c r="B15" s="97"/>
      <c r="C15" s="97"/>
      <c r="D15" s="13"/>
      <c r="E15" s="13"/>
    </row>
    <row r="16" spans="1:5" ht="82.2" customHeight="1" x14ac:dyDescent="0.25">
      <c r="A16" s="22" t="s">
        <v>98</v>
      </c>
      <c r="B16" s="20">
        <f>5*10^6</f>
        <v>5000000</v>
      </c>
      <c r="C16" s="20">
        <f>+B16/B36</f>
        <v>3336775.0000000075</v>
      </c>
      <c r="D16" s="64" t="s">
        <v>558</v>
      </c>
      <c r="E16" s="13" t="s">
        <v>83</v>
      </c>
    </row>
    <row r="17" spans="1:5" x14ac:dyDescent="0.25">
      <c r="A17" s="13" t="s">
        <v>99</v>
      </c>
      <c r="B17" s="197"/>
      <c r="C17" s="193"/>
      <c r="D17" s="64"/>
      <c r="E17" s="13"/>
    </row>
    <row r="18" spans="1:5" x14ac:dyDescent="0.25">
      <c r="A18" s="13" t="s">
        <v>101</v>
      </c>
      <c r="B18" s="193"/>
      <c r="C18" s="193"/>
      <c r="D18" s="65"/>
      <c r="E18" s="13"/>
    </row>
    <row r="19" spans="1:5" ht="30" x14ac:dyDescent="0.25">
      <c r="A19" s="22" t="s">
        <v>103</v>
      </c>
      <c r="B19" s="97"/>
      <c r="C19" s="97"/>
      <c r="D19" s="13"/>
      <c r="E19" s="13"/>
    </row>
    <row r="20" spans="1:5" x14ac:dyDescent="0.25">
      <c r="A20" s="13" t="s">
        <v>104</v>
      </c>
      <c r="B20" s="97"/>
      <c r="C20" s="97"/>
      <c r="D20" s="13"/>
      <c r="E20" s="66"/>
    </row>
    <row r="21" spans="1:5" ht="30" x14ac:dyDescent="0.25">
      <c r="A21" s="22" t="s">
        <v>105</v>
      </c>
      <c r="B21" s="97">
        <f>SUM(B22,B24)</f>
        <v>0</v>
      </c>
      <c r="C21" s="97">
        <f>SUM(C22,C24)</f>
        <v>0</v>
      </c>
      <c r="D21" s="13"/>
      <c r="E21" s="13"/>
    </row>
    <row r="22" spans="1:5" x14ac:dyDescent="0.25">
      <c r="A22" s="22" t="s">
        <v>108</v>
      </c>
      <c r="B22" s="97"/>
      <c r="C22" s="97"/>
      <c r="D22" s="13"/>
      <c r="E22" s="13"/>
    </row>
    <row r="23" spans="1:5" x14ac:dyDescent="0.25">
      <c r="A23" s="13" t="s">
        <v>109</v>
      </c>
      <c r="B23" s="97"/>
      <c r="C23" s="97"/>
      <c r="D23" s="13"/>
      <c r="E23" s="13"/>
    </row>
    <row r="24" spans="1:5" x14ac:dyDescent="0.25">
      <c r="A24" s="22" t="s">
        <v>110</v>
      </c>
      <c r="B24" s="193"/>
      <c r="C24" s="193"/>
      <c r="D24" s="24"/>
      <c r="E24" s="13"/>
    </row>
    <row r="25" spans="1:5" x14ac:dyDescent="0.25">
      <c r="A25" s="13" t="s">
        <v>109</v>
      </c>
      <c r="B25" s="97"/>
      <c r="C25" s="193"/>
      <c r="D25" s="13"/>
      <c r="E25" s="13"/>
    </row>
    <row r="26" spans="1:5" x14ac:dyDescent="0.25">
      <c r="A26" s="22" t="s">
        <v>111</v>
      </c>
      <c r="B26" s="12">
        <f>SUM(B27:B29)</f>
        <v>479504.91117920639</v>
      </c>
      <c r="C26" s="12">
        <f>SUM(C27:C29)</f>
        <v>320000</v>
      </c>
      <c r="D26" s="13"/>
      <c r="E26" s="13"/>
    </row>
    <row r="27" spans="1:5" x14ac:dyDescent="0.25">
      <c r="A27" s="13" t="s">
        <v>112</v>
      </c>
      <c r="B27" s="16"/>
      <c r="C27" s="16"/>
      <c r="D27" s="13"/>
      <c r="E27" s="13"/>
    </row>
    <row r="28" spans="1:5" x14ac:dyDescent="0.25">
      <c r="A28" s="13" t="s">
        <v>115</v>
      </c>
      <c r="B28" s="16"/>
      <c r="C28" s="16"/>
      <c r="D28" s="13"/>
      <c r="E28" s="13"/>
    </row>
    <row r="29" spans="1:5" x14ac:dyDescent="0.25">
      <c r="A29" s="13" t="s">
        <v>116</v>
      </c>
      <c r="B29" s="16">
        <f>SUM(B30:B31)</f>
        <v>479504.91117920639</v>
      </c>
      <c r="C29" s="16">
        <f>SUM(C30:C31)</f>
        <v>320000</v>
      </c>
      <c r="D29" s="13"/>
      <c r="E29" s="13"/>
    </row>
    <row r="30" spans="1:5" x14ac:dyDescent="0.25">
      <c r="A30" s="13" t="s">
        <v>117</v>
      </c>
      <c r="B30" s="19">
        <f>+C30*B36</f>
        <v>479504.91117920639</v>
      </c>
      <c r="C30" s="19">
        <v>320000</v>
      </c>
      <c r="D30" s="13" t="s">
        <v>559</v>
      </c>
      <c r="E30" s="24" t="s">
        <v>209</v>
      </c>
    </row>
    <row r="31" spans="1:5" x14ac:dyDescent="0.25">
      <c r="A31" s="13" t="s">
        <v>118</v>
      </c>
      <c r="B31" s="16"/>
      <c r="C31" s="97"/>
      <c r="D31" s="13"/>
      <c r="E31" s="13"/>
    </row>
    <row r="32" spans="1:5" x14ac:dyDescent="0.25">
      <c r="A32" s="22" t="s">
        <v>119</v>
      </c>
      <c r="B32" s="197"/>
      <c r="C32" s="97"/>
      <c r="D32" s="13"/>
      <c r="E32" s="13"/>
    </row>
    <row r="33" spans="1:5" x14ac:dyDescent="0.25">
      <c r="A33" s="35"/>
      <c r="B33" s="69"/>
      <c r="C33" s="69"/>
      <c r="D33" s="33"/>
      <c r="E33" s="33"/>
    </row>
    <row r="34" spans="1:5" x14ac:dyDescent="0.25">
      <c r="A34" s="35" t="s">
        <v>120</v>
      </c>
      <c r="B34" s="198">
        <f>SUM(B5,B8,B12,B15,B16)</f>
        <v>5000000</v>
      </c>
      <c r="C34" s="198">
        <f>SUM(C5,C8,C12,C15,C16)</f>
        <v>3336775.0000000075</v>
      </c>
    </row>
    <row r="35" spans="1:5" x14ac:dyDescent="0.25">
      <c r="A35" s="35"/>
      <c r="B35" s="71"/>
      <c r="C35" s="72"/>
    </row>
    <row r="36" spans="1:5" x14ac:dyDescent="0.25">
      <c r="A36" s="35" t="s">
        <v>155</v>
      </c>
      <c r="B36" s="199">
        <v>1.4984528474350201</v>
      </c>
      <c r="C36" s="74"/>
    </row>
    <row r="37" spans="1:5" x14ac:dyDescent="0.25">
      <c r="A37" s="75" t="s">
        <v>122</v>
      </c>
      <c r="B37" s="179">
        <v>148000000</v>
      </c>
      <c r="C37" s="179">
        <v>108000000</v>
      </c>
    </row>
    <row r="38" spans="1:5" x14ac:dyDescent="0.25">
      <c r="A38" s="75" t="s">
        <v>123</v>
      </c>
      <c r="B38" s="179">
        <v>12704</v>
      </c>
      <c r="C38" s="77"/>
    </row>
    <row r="39" spans="1:5" x14ac:dyDescent="0.25">
      <c r="A39" s="75"/>
      <c r="B39" s="76"/>
      <c r="C39" s="76"/>
    </row>
    <row r="40" spans="1:5" x14ac:dyDescent="0.25">
      <c r="A40" s="7"/>
      <c r="B40" s="46" t="s">
        <v>156</v>
      </c>
      <c r="C40" s="47" t="s">
        <v>125</v>
      </c>
    </row>
    <row r="41" spans="1:5" x14ac:dyDescent="0.25">
      <c r="A41" s="75" t="s">
        <v>126</v>
      </c>
      <c r="B41" s="48">
        <f>$B37/$B38</f>
        <v>11649.874055415617</v>
      </c>
      <c r="C41" s="48">
        <f>$C37/$B38</f>
        <v>8501.2594458438289</v>
      </c>
    </row>
    <row r="42" spans="1:5" x14ac:dyDescent="0.25">
      <c r="A42" s="75" t="s">
        <v>127</v>
      </c>
      <c r="B42" s="49">
        <f>($B34/$B37)*100</f>
        <v>3.3783783783783785</v>
      </c>
      <c r="C42" s="49"/>
    </row>
    <row r="43" spans="1:5" x14ac:dyDescent="0.25">
      <c r="A43" s="75" t="s">
        <v>128</v>
      </c>
      <c r="B43" s="78">
        <f>B34/B38</f>
        <v>393.57682619647358</v>
      </c>
      <c r="C43" s="78">
        <f>C34/B38</f>
        <v>262.6554628463482</v>
      </c>
    </row>
    <row r="44" spans="1:5" x14ac:dyDescent="0.25">
      <c r="A44" s="75"/>
      <c r="B44" s="78"/>
      <c r="C44" s="78"/>
    </row>
    <row r="45" spans="1:5" x14ac:dyDescent="0.25">
      <c r="A45" s="335" t="s">
        <v>1057</v>
      </c>
      <c r="B45" s="78"/>
      <c r="C45" s="78"/>
    </row>
    <row r="46" spans="1:5" x14ac:dyDescent="0.25">
      <c r="A46" s="75"/>
      <c r="B46" s="79"/>
    </row>
    <row r="47" spans="1:5" x14ac:dyDescent="0.25">
      <c r="A47" s="75" t="s">
        <v>129</v>
      </c>
    </row>
    <row r="48" spans="1:5" ht="15.45" customHeight="1" x14ac:dyDescent="0.25">
      <c r="A48" s="7" t="s">
        <v>560</v>
      </c>
      <c r="B48" s="53"/>
      <c r="C48" s="53"/>
      <c r="D48" s="53"/>
      <c r="E48" s="53"/>
    </row>
    <row r="49" spans="1:5" ht="15.45" customHeight="1" x14ac:dyDescent="0.25">
      <c r="A49" s="7" t="s">
        <v>469</v>
      </c>
      <c r="B49" s="53"/>
      <c r="C49" s="53"/>
      <c r="D49" s="53"/>
      <c r="E49" s="53"/>
    </row>
    <row r="50" spans="1:5" ht="15.45" customHeight="1" x14ac:dyDescent="0.25">
      <c r="A50" s="53"/>
      <c r="B50" s="53"/>
      <c r="C50" s="53"/>
      <c r="D50" s="53"/>
      <c r="E50" s="53"/>
    </row>
    <row r="52" spans="1:5" x14ac:dyDescent="0.25">
      <c r="A52" s="75" t="s">
        <v>131</v>
      </c>
    </row>
    <row r="53" spans="1:5" s="70" customFormat="1" x14ac:dyDescent="0.25">
      <c r="A53" s="54" t="s">
        <v>561</v>
      </c>
      <c r="B53" s="37"/>
      <c r="C53" s="147"/>
      <c r="D53" s="37"/>
      <c r="E53" s="37"/>
    </row>
    <row r="54" spans="1:5" s="70" customFormat="1" x14ac:dyDescent="0.25">
      <c r="A54" s="37" t="s">
        <v>562</v>
      </c>
      <c r="B54" s="37"/>
      <c r="C54" s="147"/>
      <c r="D54" s="37"/>
      <c r="E54" s="37"/>
    </row>
    <row r="55" spans="1:5" s="70" customFormat="1" x14ac:dyDescent="0.25">
      <c r="A55" s="7" t="s">
        <v>469</v>
      </c>
      <c r="B55" s="37"/>
      <c r="C55" s="147"/>
      <c r="D55" s="37"/>
      <c r="E55" s="37"/>
    </row>
    <row r="56" spans="1:5" s="70" customFormat="1" x14ac:dyDescent="0.3">
      <c r="A56" s="33"/>
      <c r="B56" s="33"/>
      <c r="C56" s="33"/>
      <c r="D56" s="33"/>
      <c r="E56" s="33"/>
    </row>
    <row r="57" spans="1:5" s="70" customFormat="1" x14ac:dyDescent="0.25">
      <c r="A57" s="7"/>
      <c r="D57" s="37"/>
    </row>
    <row r="58" spans="1:5" x14ac:dyDescent="0.25">
      <c r="A58" s="367" t="s">
        <v>1062</v>
      </c>
      <c r="B58" s="367"/>
      <c r="C58" s="367"/>
      <c r="D58" s="367"/>
      <c r="E58" s="367"/>
    </row>
    <row r="59" spans="1:5" x14ac:dyDescent="0.25">
      <c r="A59" s="367"/>
      <c r="B59" s="367"/>
      <c r="C59" s="367"/>
      <c r="D59" s="367"/>
      <c r="E59" s="367"/>
    </row>
  </sheetData>
  <sheetProtection algorithmName="SHA-512" hashValue="kUe8YEEZaurOs0pUPE2sM8R0OgudgjfCPlN/DBjAWZeXLw7nrMAXUywrhDiN5Og+rh6+JIjacicv8XN7r5eMQA==" saltValue="L5hjDZvAFIr4ygdX6Byfnw==" spinCount="100000" sheet="1" formatCells="0" formatColumns="0" formatRows="0" insertColumns="0" insertRows="0" insertHyperlinks="0" deleteColumns="0" deleteRows="0" sort="0" autoFilter="0" pivotTables="0"/>
  <mergeCells count="1">
    <mergeCell ref="A58:E59"/>
  </mergeCells>
  <hyperlinks>
    <hyperlink ref="A2" location="Index!B40" display="[Back to Index]" xr:uid="{AAED8E33-7CD7-4418-8600-6B611F3BB51A}"/>
  </hyperlink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9611-2B2A-41B4-961B-2A5994AA8076}">
  <sheetPr codeName="Sheet18">
    <tabColor theme="8" tint="0.79998168889431442"/>
  </sheetPr>
  <dimension ref="A1:E5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54</v>
      </c>
      <c r="B1" s="2" t="s">
        <v>73</v>
      </c>
      <c r="C1" s="2" t="s">
        <v>233</v>
      </c>
      <c r="D1" s="4" t="s">
        <v>1045</v>
      </c>
    </row>
    <row r="2" spans="1:5" s="5" customFormat="1" x14ac:dyDescent="0.25">
      <c r="A2" s="324" t="s">
        <v>74</v>
      </c>
      <c r="C2" s="2" t="s">
        <v>233</v>
      </c>
      <c r="D2" s="4" t="s">
        <v>1046</v>
      </c>
    </row>
    <row r="3" spans="1:5" s="5" customFormat="1" x14ac:dyDescent="0.25">
      <c r="A3" s="6"/>
      <c r="D3" s="7"/>
    </row>
    <row r="4" spans="1:5" s="10" customFormat="1" x14ac:dyDescent="0.3">
      <c r="A4" s="8" t="s">
        <v>75</v>
      </c>
      <c r="B4" s="9" t="s">
        <v>163</v>
      </c>
      <c r="C4" s="9" t="s">
        <v>77</v>
      </c>
      <c r="D4" s="9" t="s">
        <v>78</v>
      </c>
      <c r="E4" s="8" t="s">
        <v>79</v>
      </c>
    </row>
    <row r="5" spans="1:5" s="15" customFormat="1" ht="60" x14ac:dyDescent="0.25">
      <c r="A5" s="11" t="s">
        <v>80</v>
      </c>
      <c r="B5" s="97">
        <f>SUM(B6:B7)</f>
        <v>0</v>
      </c>
      <c r="C5" s="97">
        <f>SUM(C6:C7)</f>
        <v>0</v>
      </c>
      <c r="D5" s="13"/>
      <c r="E5" s="14"/>
    </row>
    <row r="6" spans="1:5" s="15" customFormat="1" ht="45" x14ac:dyDescent="0.25">
      <c r="A6" s="14" t="s">
        <v>81</v>
      </c>
      <c r="B6" s="97"/>
      <c r="C6" s="97"/>
      <c r="D6" s="13"/>
      <c r="E6" s="14"/>
    </row>
    <row r="7" spans="1:5" s="15" customFormat="1" ht="45" x14ac:dyDescent="0.25">
      <c r="A7" s="14" t="s">
        <v>84</v>
      </c>
      <c r="B7" s="98"/>
      <c r="C7" s="98"/>
      <c r="D7" s="13"/>
      <c r="E7" s="14"/>
    </row>
    <row r="8" spans="1:5" ht="30" x14ac:dyDescent="0.25">
      <c r="A8" s="11" t="s">
        <v>87</v>
      </c>
      <c r="B8" s="97">
        <f>SUM(B9:B11)</f>
        <v>0</v>
      </c>
      <c r="C8" s="97">
        <f>SUM(C9:C11)</f>
        <v>0</v>
      </c>
      <c r="D8" s="13"/>
      <c r="E8" s="14"/>
    </row>
    <row r="9" spans="1:5" ht="60" x14ac:dyDescent="0.25">
      <c r="A9" s="14" t="s">
        <v>88</v>
      </c>
      <c r="B9" s="97"/>
      <c r="C9" s="97"/>
      <c r="D9" s="13"/>
      <c r="E9" s="14"/>
    </row>
    <row r="10" spans="1:5" ht="45" x14ac:dyDescent="0.25">
      <c r="A10" s="14" t="s">
        <v>90</v>
      </c>
      <c r="B10" s="97"/>
      <c r="C10" s="97"/>
      <c r="D10" s="13"/>
      <c r="E10" s="14"/>
    </row>
    <row r="11" spans="1:5" x14ac:dyDescent="0.25">
      <c r="A11" s="14" t="s">
        <v>92</v>
      </c>
      <c r="B11" s="99"/>
      <c r="C11" s="99"/>
      <c r="D11" s="13"/>
      <c r="E11" s="14"/>
    </row>
    <row r="12" spans="1:5" ht="45" x14ac:dyDescent="0.25">
      <c r="A12" s="11" t="s">
        <v>93</v>
      </c>
      <c r="B12" s="97">
        <f>SUM(B13:B14)</f>
        <v>0</v>
      </c>
      <c r="C12" s="97">
        <f>SUM(C13:C14)</f>
        <v>0</v>
      </c>
      <c r="D12" s="13"/>
      <c r="E12" s="14"/>
    </row>
    <row r="13" spans="1:5" ht="45" x14ac:dyDescent="0.25">
      <c r="A13" s="14" t="s">
        <v>94</v>
      </c>
      <c r="B13" s="100"/>
      <c r="C13" s="100"/>
      <c r="D13" s="13"/>
      <c r="E13" s="14"/>
    </row>
    <row r="14" spans="1:5" x14ac:dyDescent="0.25">
      <c r="A14" s="14" t="s">
        <v>96</v>
      </c>
      <c r="B14" s="97"/>
      <c r="C14" s="97"/>
      <c r="D14" s="13"/>
      <c r="E14" s="14"/>
    </row>
    <row r="15" spans="1:5" ht="45" x14ac:dyDescent="0.25">
      <c r="A15" s="11" t="s">
        <v>97</v>
      </c>
      <c r="B15" s="97"/>
      <c r="C15" s="97"/>
      <c r="D15" s="13"/>
      <c r="E15" s="14"/>
    </row>
    <row r="16" spans="1:5" ht="30" x14ac:dyDescent="0.25">
      <c r="A16" s="11" t="s">
        <v>98</v>
      </c>
      <c r="B16" s="97">
        <f>SUM(B17:B18)</f>
        <v>0</v>
      </c>
      <c r="C16" s="97">
        <f>SUM(C17:C18)</f>
        <v>0</v>
      </c>
      <c r="D16" s="13"/>
      <c r="E16" s="14"/>
    </row>
    <row r="17" spans="1:5" x14ac:dyDescent="0.25">
      <c r="A17" s="13" t="s">
        <v>99</v>
      </c>
      <c r="B17" s="101"/>
      <c r="C17" s="100"/>
      <c r="D17" s="57"/>
      <c r="E17" s="14"/>
    </row>
    <row r="18" spans="1:5" x14ac:dyDescent="0.25">
      <c r="A18" s="13" t="s">
        <v>101</v>
      </c>
      <c r="B18" s="100"/>
      <c r="C18" s="100"/>
      <c r="D18" s="102"/>
      <c r="E18" s="13"/>
    </row>
    <row r="19" spans="1:5" ht="30" x14ac:dyDescent="0.25">
      <c r="A19" s="11" t="s">
        <v>103</v>
      </c>
      <c r="B19" s="97"/>
      <c r="C19" s="97"/>
      <c r="D19" s="13"/>
      <c r="E19" s="21"/>
    </row>
    <row r="20" spans="1:5" x14ac:dyDescent="0.25">
      <c r="A20" s="14" t="s">
        <v>104</v>
      </c>
      <c r="B20" s="97"/>
      <c r="C20" s="97"/>
      <c r="D20" s="13"/>
      <c r="E20" s="21"/>
    </row>
    <row r="21" spans="1:5" ht="30" x14ac:dyDescent="0.25">
      <c r="A21" s="22" t="s">
        <v>105</v>
      </c>
      <c r="B21" s="97">
        <f>SUM(B22,B24)</f>
        <v>0</v>
      </c>
      <c r="C21" s="97">
        <f>SUM(C22,C24)</f>
        <v>0</v>
      </c>
      <c r="D21" s="13"/>
      <c r="E21" s="14"/>
    </row>
    <row r="22" spans="1:5" x14ac:dyDescent="0.25">
      <c r="A22" s="22" t="s">
        <v>108</v>
      </c>
      <c r="B22" s="97"/>
      <c r="C22" s="97"/>
      <c r="D22" s="13"/>
      <c r="E22" s="14"/>
    </row>
    <row r="23" spans="1:5" x14ac:dyDescent="0.25">
      <c r="A23" s="13" t="s">
        <v>109</v>
      </c>
      <c r="B23" s="97"/>
      <c r="C23" s="97"/>
      <c r="D23" s="13"/>
      <c r="E23" s="14"/>
    </row>
    <row r="24" spans="1:5" x14ac:dyDescent="0.25">
      <c r="A24" s="22" t="s">
        <v>110</v>
      </c>
      <c r="B24" s="100"/>
      <c r="C24" s="100"/>
      <c r="D24" s="24"/>
      <c r="E24" s="14"/>
    </row>
    <row r="25" spans="1:5" x14ac:dyDescent="0.25">
      <c r="A25" s="13" t="s">
        <v>109</v>
      </c>
      <c r="B25" s="97"/>
      <c r="C25" s="100"/>
      <c r="D25" s="13"/>
      <c r="E25" s="14"/>
    </row>
    <row r="26" spans="1:5" x14ac:dyDescent="0.25">
      <c r="A26" s="22" t="s">
        <v>111</v>
      </c>
      <c r="B26" s="97">
        <f>SUM(B27:B29)</f>
        <v>0</v>
      </c>
      <c r="C26" s="97">
        <f>SUM(C27:C29)</f>
        <v>0</v>
      </c>
      <c r="D26" s="13"/>
      <c r="E26" s="14"/>
    </row>
    <row r="27" spans="1:5" x14ac:dyDescent="0.25">
      <c r="A27" s="13" t="s">
        <v>112</v>
      </c>
      <c r="B27" s="97"/>
      <c r="C27" s="97"/>
      <c r="D27" s="13"/>
      <c r="E27" s="14"/>
    </row>
    <row r="28" spans="1:5" x14ac:dyDescent="0.25">
      <c r="A28" s="13" t="s">
        <v>115</v>
      </c>
      <c r="B28" s="97"/>
      <c r="C28" s="97"/>
      <c r="D28" s="13"/>
      <c r="E28" s="14"/>
    </row>
    <row r="29" spans="1:5" x14ac:dyDescent="0.25">
      <c r="A29" s="13" t="s">
        <v>116</v>
      </c>
      <c r="B29" s="99">
        <f>SUM(B30:B31)</f>
        <v>0</v>
      </c>
      <c r="C29" s="99">
        <f>SUM(C30:C31)</f>
        <v>0</v>
      </c>
      <c r="D29" s="13"/>
      <c r="E29" s="14"/>
    </row>
    <row r="30" spans="1:5" x14ac:dyDescent="0.25">
      <c r="A30" s="13" t="s">
        <v>117</v>
      </c>
      <c r="B30" s="99"/>
      <c r="C30" s="99"/>
      <c r="D30" s="83"/>
      <c r="E30" s="24"/>
    </row>
    <row r="31" spans="1:5" x14ac:dyDescent="0.25">
      <c r="A31" s="13" t="s">
        <v>118</v>
      </c>
      <c r="B31" s="99"/>
      <c r="C31" s="99"/>
      <c r="D31" s="13"/>
      <c r="E31" s="14"/>
    </row>
    <row r="32" spans="1:5" x14ac:dyDescent="0.25">
      <c r="A32" s="11" t="s">
        <v>119</v>
      </c>
      <c r="B32" s="101"/>
      <c r="C32" s="97"/>
      <c r="D32" s="13"/>
      <c r="E32" s="14"/>
    </row>
    <row r="33" spans="1:5" x14ac:dyDescent="0.25">
      <c r="A33" s="31"/>
      <c r="B33" s="32"/>
      <c r="C33" s="32"/>
      <c r="D33" s="33"/>
      <c r="E33" s="34"/>
    </row>
    <row r="34" spans="1:5" x14ac:dyDescent="0.25">
      <c r="A34" s="35" t="s">
        <v>120</v>
      </c>
      <c r="B34" s="103">
        <f>SUM(B5,B8,B12,B15,B16)</f>
        <v>0</v>
      </c>
      <c r="C34" s="103">
        <f>SUM(C5,C8,C12,C15,C16)</f>
        <v>0</v>
      </c>
    </row>
    <row r="35" spans="1:5" x14ac:dyDescent="0.25">
      <c r="A35" s="35"/>
      <c r="B35" s="39"/>
      <c r="C35" s="40"/>
    </row>
    <row r="36" spans="1:5" x14ac:dyDescent="0.25">
      <c r="A36" s="35" t="s">
        <v>121</v>
      </c>
      <c r="B36" s="88">
        <v>1.6534</v>
      </c>
      <c r="C36" s="42"/>
    </row>
    <row r="37" spans="1:5" x14ac:dyDescent="0.25">
      <c r="A37" s="43" t="s">
        <v>122</v>
      </c>
      <c r="B37" s="44">
        <v>45949889.8833097</v>
      </c>
      <c r="C37" s="44">
        <v>31793511.100000001</v>
      </c>
      <c r="D37" s="104"/>
    </row>
    <row r="38" spans="1:5" x14ac:dyDescent="0.25">
      <c r="A38" s="43" t="s">
        <v>123</v>
      </c>
      <c r="B38" s="44">
        <v>1738</v>
      </c>
      <c r="C38" s="44"/>
    </row>
    <row r="39" spans="1:5" x14ac:dyDescent="0.25">
      <c r="A39" s="43"/>
      <c r="B39" s="44"/>
      <c r="C39" s="44"/>
    </row>
    <row r="40" spans="1:5" x14ac:dyDescent="0.25">
      <c r="A40" s="5"/>
      <c r="B40" s="46" t="s">
        <v>179</v>
      </c>
      <c r="C40" s="47" t="s">
        <v>125</v>
      </c>
    </row>
    <row r="41" spans="1:5" x14ac:dyDescent="0.25">
      <c r="A41" s="43" t="s">
        <v>126</v>
      </c>
      <c r="B41" s="48">
        <f>$B37/$B$38</f>
        <v>26438.371624458974</v>
      </c>
      <c r="C41" s="48">
        <f>$C37/$B$38</f>
        <v>18293.159436133486</v>
      </c>
    </row>
    <row r="42" spans="1:5" x14ac:dyDescent="0.25">
      <c r="A42" s="43" t="s">
        <v>127</v>
      </c>
      <c r="B42" s="96">
        <f>($B34/$B37)*100</f>
        <v>0</v>
      </c>
      <c r="C42" s="96"/>
    </row>
    <row r="43" spans="1:5" x14ac:dyDescent="0.25">
      <c r="A43" s="43" t="s">
        <v>128</v>
      </c>
      <c r="B43" s="105">
        <f>$B34/$B$38</f>
        <v>0</v>
      </c>
      <c r="C43" s="105">
        <f>$C34/$B$38</f>
        <v>0</v>
      </c>
    </row>
    <row r="44" spans="1:5" x14ac:dyDescent="0.25">
      <c r="A44" s="43"/>
      <c r="B44" s="50"/>
      <c r="C44" s="50"/>
    </row>
    <row r="45" spans="1:5" x14ac:dyDescent="0.25">
      <c r="A45" s="336" t="s">
        <v>1054</v>
      </c>
      <c r="B45" s="50"/>
      <c r="C45" s="50"/>
    </row>
    <row r="46" spans="1:5" x14ac:dyDescent="0.25">
      <c r="A46" s="43"/>
      <c r="B46" s="51"/>
    </row>
    <row r="47" spans="1:5" x14ac:dyDescent="0.25">
      <c r="A47" s="43" t="s">
        <v>129</v>
      </c>
    </row>
    <row r="48" spans="1:5" ht="15.6" customHeight="1" x14ac:dyDescent="0.25">
      <c r="A48" s="52" t="s">
        <v>130</v>
      </c>
      <c r="B48" s="53"/>
      <c r="C48" s="53"/>
      <c r="D48" s="53"/>
      <c r="E48" s="53"/>
    </row>
    <row r="49" spans="1:5" ht="15.6" customHeight="1" x14ac:dyDescent="0.25">
      <c r="A49" s="52"/>
      <c r="B49" s="53"/>
      <c r="C49" s="53"/>
      <c r="D49" s="53"/>
      <c r="E49" s="53"/>
    </row>
    <row r="50" spans="1:5" x14ac:dyDescent="0.25">
      <c r="A50" s="43" t="s">
        <v>131</v>
      </c>
    </row>
    <row r="51" spans="1:5" s="38" customFormat="1" x14ac:dyDescent="0.3">
      <c r="A51" s="106" t="s">
        <v>130</v>
      </c>
      <c r="B51" s="55"/>
      <c r="C51" s="55"/>
      <c r="D51" s="55"/>
      <c r="E51" s="55"/>
    </row>
    <row r="52" spans="1:5" s="38" customFormat="1" x14ac:dyDescent="0.25">
      <c r="A52" s="52"/>
      <c r="B52" s="55"/>
      <c r="C52" s="55"/>
      <c r="D52" s="55"/>
      <c r="E52" s="55"/>
    </row>
    <row r="53" spans="1:5" s="38" customFormat="1" x14ac:dyDescent="0.3">
      <c r="B53" s="34"/>
      <c r="C53" s="34"/>
      <c r="D53" s="34"/>
      <c r="E53" s="34"/>
    </row>
  </sheetData>
  <sheetProtection formatCells="0" formatColumns="0" formatRows="0" insertColumns="0" insertRows="0" insertHyperlinks="0" deleteColumns="0" deleteRows="0" sort="0" autoFilter="0" pivotTables="0"/>
  <hyperlinks>
    <hyperlink ref="A2" location="Index!B41" display="[Back to Index]" xr:uid="{893D51BC-8E14-4FED-97BB-4D5072995CF8}"/>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DC23-8B80-486D-ACD2-0EA7BFDF098B}">
  <sheetPr codeName="Sheet19">
    <tabColor theme="8" tint="0.79998168889431442"/>
  </sheetPr>
  <dimension ref="A1:E58"/>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57</v>
      </c>
      <c r="B1" s="2" t="s">
        <v>234</v>
      </c>
      <c r="C1" s="84">
        <v>0</v>
      </c>
      <c r="D1" s="4" t="s">
        <v>1045</v>
      </c>
    </row>
    <row r="2" spans="1:5" s="5" customFormat="1" x14ac:dyDescent="0.25">
      <c r="A2" s="324" t="s">
        <v>74</v>
      </c>
      <c r="C2" s="84">
        <v>0</v>
      </c>
      <c r="D2" s="4" t="s">
        <v>1046</v>
      </c>
    </row>
    <row r="3" spans="1:5" x14ac:dyDescent="0.25">
      <c r="A3" s="154"/>
      <c r="B3" s="222"/>
      <c r="C3" s="142"/>
    </row>
    <row r="4" spans="1:5" s="10" customFormat="1" x14ac:dyDescent="0.3">
      <c r="A4" s="8" t="s">
        <v>75</v>
      </c>
      <c r="B4" s="233" t="s">
        <v>77</v>
      </c>
      <c r="C4" s="234"/>
      <c r="D4" s="9" t="s">
        <v>78</v>
      </c>
      <c r="E4" s="8" t="s">
        <v>79</v>
      </c>
    </row>
    <row r="5" spans="1:5" s="15" customFormat="1" ht="60" x14ac:dyDescent="0.25">
      <c r="A5" s="11" t="s">
        <v>80</v>
      </c>
      <c r="B5" s="235">
        <f>SUM(B6:B7)</f>
        <v>0</v>
      </c>
      <c r="C5" s="236"/>
      <c r="D5" s="13"/>
      <c r="E5" s="14"/>
    </row>
    <row r="6" spans="1:5" s="15" customFormat="1" ht="45" x14ac:dyDescent="0.25">
      <c r="A6" s="14" t="s">
        <v>81</v>
      </c>
      <c r="B6" s="237"/>
      <c r="C6" s="238"/>
      <c r="D6" s="13"/>
      <c r="E6" s="14"/>
    </row>
    <row r="7" spans="1:5" s="15" customFormat="1" ht="45" x14ac:dyDescent="0.25">
      <c r="A7" s="14" t="s">
        <v>84</v>
      </c>
      <c r="B7" s="239"/>
      <c r="C7" s="240"/>
      <c r="D7" s="13"/>
      <c r="E7" s="14"/>
    </row>
    <row r="8" spans="1:5" ht="30" x14ac:dyDescent="0.25">
      <c r="A8" s="11" t="s">
        <v>87</v>
      </c>
      <c r="B8" s="235">
        <f>SUM(B9:B11)</f>
        <v>0</v>
      </c>
      <c r="C8" s="236"/>
      <c r="D8" s="13"/>
      <c r="E8" s="14"/>
    </row>
    <row r="9" spans="1:5" ht="60" x14ac:dyDescent="0.25">
      <c r="A9" s="14" t="s">
        <v>88</v>
      </c>
      <c r="B9" s="237"/>
      <c r="C9" s="238"/>
      <c r="D9" s="13"/>
      <c r="E9" s="14"/>
    </row>
    <row r="10" spans="1:5" ht="45" x14ac:dyDescent="0.25">
      <c r="A10" s="14" t="s">
        <v>90</v>
      </c>
      <c r="B10" s="237"/>
      <c r="C10" s="238"/>
      <c r="D10" s="13"/>
      <c r="E10" s="14"/>
    </row>
    <row r="11" spans="1:5" x14ac:dyDescent="0.25">
      <c r="A11" s="14" t="s">
        <v>92</v>
      </c>
      <c r="B11" s="241"/>
      <c r="C11" s="242"/>
      <c r="D11" s="13"/>
      <c r="E11" s="14"/>
    </row>
    <row r="12" spans="1:5" ht="45" x14ac:dyDescent="0.25">
      <c r="A12" s="11" t="s">
        <v>93</v>
      </c>
      <c r="B12" s="235">
        <f>SUM(B13:B14)</f>
        <v>0</v>
      </c>
      <c r="C12" s="236"/>
      <c r="D12" s="13"/>
      <c r="E12" s="14"/>
    </row>
    <row r="13" spans="1:5" ht="45" x14ac:dyDescent="0.25">
      <c r="A13" s="14" t="s">
        <v>94</v>
      </c>
      <c r="B13" s="243"/>
      <c r="C13" s="244"/>
      <c r="D13" s="13"/>
      <c r="E13" s="14"/>
    </row>
    <row r="14" spans="1:5" ht="66.599999999999994" customHeight="1" x14ac:dyDescent="0.25">
      <c r="A14" s="14" t="s">
        <v>96</v>
      </c>
      <c r="B14" s="237"/>
      <c r="C14" s="238"/>
      <c r="D14" s="13" t="s">
        <v>841</v>
      </c>
      <c r="E14" s="14" t="s">
        <v>805</v>
      </c>
    </row>
    <row r="15" spans="1:5" ht="45" x14ac:dyDescent="0.25">
      <c r="A15" s="11" t="s">
        <v>97</v>
      </c>
      <c r="B15" s="235"/>
      <c r="C15" s="236"/>
      <c r="D15" s="13"/>
      <c r="E15" s="14"/>
    </row>
    <row r="16" spans="1:5" ht="30" x14ac:dyDescent="0.25">
      <c r="A16" s="11" t="s">
        <v>98</v>
      </c>
      <c r="B16" s="257">
        <f>SUM(B17:B18)</f>
        <v>6916808</v>
      </c>
      <c r="C16" s="258"/>
      <c r="D16" s="13"/>
      <c r="E16" s="14"/>
    </row>
    <row r="17" spans="1:5" ht="60" x14ac:dyDescent="0.25">
      <c r="A17" s="13" t="s">
        <v>99</v>
      </c>
      <c r="B17" s="243">
        <v>916808</v>
      </c>
      <c r="C17" s="244"/>
      <c r="D17" s="259" t="s">
        <v>842</v>
      </c>
      <c r="E17" s="14" t="s">
        <v>805</v>
      </c>
    </row>
    <row r="18" spans="1:5" ht="60" x14ac:dyDescent="0.25">
      <c r="A18" s="13" t="s">
        <v>101</v>
      </c>
      <c r="B18" s="252">
        <v>6000000</v>
      </c>
      <c r="C18" s="253"/>
      <c r="D18" s="58" t="s">
        <v>843</v>
      </c>
      <c r="E18" s="14" t="s">
        <v>805</v>
      </c>
    </row>
    <row r="19" spans="1:5" ht="30" x14ac:dyDescent="0.25">
      <c r="A19" s="11" t="s">
        <v>103</v>
      </c>
      <c r="B19" s="235"/>
      <c r="C19" s="236"/>
      <c r="D19" s="13"/>
      <c r="E19" s="21"/>
    </row>
    <row r="20" spans="1:5" x14ac:dyDescent="0.25">
      <c r="A20" s="14" t="s">
        <v>104</v>
      </c>
      <c r="B20" s="237"/>
      <c r="C20" s="238"/>
      <c r="D20" s="13"/>
      <c r="E20" s="21"/>
    </row>
    <row r="21" spans="1:5" ht="30" x14ac:dyDescent="0.25">
      <c r="A21" s="22" t="s">
        <v>105</v>
      </c>
      <c r="B21" s="235">
        <f>SUM(B22,B24)</f>
        <v>0</v>
      </c>
      <c r="C21" s="236"/>
      <c r="D21" s="13"/>
      <c r="E21" s="14"/>
    </row>
    <row r="22" spans="1:5" x14ac:dyDescent="0.25">
      <c r="A22" s="22" t="s">
        <v>108</v>
      </c>
      <c r="B22" s="237"/>
      <c r="C22" s="238"/>
      <c r="D22" s="13"/>
      <c r="E22" s="14"/>
    </row>
    <row r="23" spans="1:5" x14ac:dyDescent="0.25">
      <c r="A23" s="13" t="s">
        <v>643</v>
      </c>
      <c r="B23" s="237"/>
      <c r="C23" s="238"/>
      <c r="D23" s="13"/>
      <c r="E23" s="14"/>
    </row>
    <row r="24" spans="1:5" x14ac:dyDescent="0.25">
      <c r="A24" s="22" t="s">
        <v>110</v>
      </c>
      <c r="B24" s="243"/>
      <c r="C24" s="244"/>
      <c r="D24" s="24"/>
      <c r="E24" s="14"/>
    </row>
    <row r="25" spans="1:5" x14ac:dyDescent="0.25">
      <c r="A25" s="13" t="s">
        <v>109</v>
      </c>
      <c r="B25" s="237"/>
      <c r="C25" s="244"/>
      <c r="D25" s="13"/>
      <c r="E25" s="14"/>
    </row>
    <row r="26" spans="1:5" x14ac:dyDescent="0.25">
      <c r="A26" s="22" t="s">
        <v>111</v>
      </c>
      <c r="B26" s="235">
        <f>SUM(B27:B29)</f>
        <v>0</v>
      </c>
      <c r="C26" s="236"/>
      <c r="D26" s="13"/>
      <c r="E26" s="14"/>
    </row>
    <row r="27" spans="1:5" x14ac:dyDescent="0.25">
      <c r="A27" s="13" t="s">
        <v>112</v>
      </c>
      <c r="B27" s="237"/>
      <c r="C27" s="238"/>
      <c r="D27" s="13"/>
      <c r="E27" s="14"/>
    </row>
    <row r="28" spans="1:5" x14ac:dyDescent="0.25">
      <c r="A28" s="13" t="s">
        <v>115</v>
      </c>
      <c r="B28" s="237"/>
      <c r="C28" s="238"/>
      <c r="D28" s="13"/>
      <c r="E28" s="14"/>
    </row>
    <row r="29" spans="1:5" x14ac:dyDescent="0.25">
      <c r="A29" s="13" t="s">
        <v>116</v>
      </c>
      <c r="B29" s="237">
        <f>SUM(B30:B31)</f>
        <v>0</v>
      </c>
      <c r="C29" s="238"/>
      <c r="D29" s="13"/>
      <c r="E29" s="14"/>
    </row>
    <row r="30" spans="1:5" x14ac:dyDescent="0.25">
      <c r="A30" s="13" t="s">
        <v>117</v>
      </c>
      <c r="B30" s="237"/>
      <c r="C30" s="238"/>
      <c r="D30" s="83"/>
      <c r="E30" s="24"/>
    </row>
    <row r="31" spans="1:5" x14ac:dyDescent="0.25">
      <c r="A31" s="13" t="s">
        <v>118</v>
      </c>
      <c r="B31" s="237"/>
      <c r="C31" s="238"/>
      <c r="D31" s="13"/>
      <c r="E31" s="14"/>
    </row>
    <row r="32" spans="1:5" x14ac:dyDescent="0.25">
      <c r="A32" s="11" t="s">
        <v>119</v>
      </c>
      <c r="B32" s="246"/>
      <c r="C32" s="236"/>
      <c r="D32" s="13"/>
      <c r="E32" s="14"/>
    </row>
    <row r="33" spans="1:5" x14ac:dyDescent="0.25">
      <c r="A33" s="31"/>
      <c r="B33" s="120"/>
      <c r="C33" s="120"/>
      <c r="D33" s="33"/>
      <c r="E33" s="34"/>
    </row>
    <row r="34" spans="1:5" x14ac:dyDescent="0.25">
      <c r="A34" s="35" t="s">
        <v>120</v>
      </c>
      <c r="B34" s="39">
        <f>SUM(B5,B8,B12,B15,B16)</f>
        <v>6916808</v>
      </c>
      <c r="C34" s="39"/>
    </row>
    <row r="35" spans="1:5" x14ac:dyDescent="0.25">
      <c r="A35" s="31"/>
      <c r="B35" s="39"/>
      <c r="C35" s="40"/>
    </row>
    <row r="36" spans="1:5" x14ac:dyDescent="0.25">
      <c r="A36" s="31" t="s">
        <v>121</v>
      </c>
      <c r="B36" s="88">
        <v>1</v>
      </c>
      <c r="C36" s="42"/>
    </row>
    <row r="37" spans="1:5" x14ac:dyDescent="0.25">
      <c r="A37" s="43" t="s">
        <v>122</v>
      </c>
      <c r="B37" s="45">
        <v>291000000</v>
      </c>
      <c r="C37" s="45"/>
    </row>
    <row r="38" spans="1:5" x14ac:dyDescent="0.25">
      <c r="A38" s="43" t="s">
        <v>123</v>
      </c>
      <c r="B38" s="45">
        <v>17907</v>
      </c>
      <c r="C38" s="45"/>
    </row>
    <row r="39" spans="1:5" x14ac:dyDescent="0.25">
      <c r="A39" s="43"/>
      <c r="B39" s="44"/>
      <c r="C39" s="44"/>
    </row>
    <row r="40" spans="1:5" x14ac:dyDescent="0.25">
      <c r="A40" s="5"/>
      <c r="B40" s="46" t="s">
        <v>125</v>
      </c>
      <c r="C40" s="47"/>
    </row>
    <row r="41" spans="1:5" x14ac:dyDescent="0.25">
      <c r="A41" s="43" t="s">
        <v>126</v>
      </c>
      <c r="B41" s="48">
        <f>$B37/$B$38</f>
        <v>16250.628245937343</v>
      </c>
      <c r="C41" s="48"/>
    </row>
    <row r="42" spans="1:5" x14ac:dyDescent="0.25">
      <c r="A42" s="43" t="s">
        <v>127</v>
      </c>
      <c r="B42" s="49">
        <f>($B34/$B37)*100</f>
        <v>2.3769099656357389</v>
      </c>
      <c r="C42" s="49"/>
    </row>
    <row r="43" spans="1:5" x14ac:dyDescent="0.25">
      <c r="A43" s="43" t="s">
        <v>128</v>
      </c>
      <c r="B43" s="50">
        <f>$B34/$B$38</f>
        <v>386.26280225610094</v>
      </c>
      <c r="C43" s="50"/>
    </row>
    <row r="44" spans="1:5" x14ac:dyDescent="0.25">
      <c r="A44" s="43"/>
      <c r="B44" s="50"/>
      <c r="C44" s="50"/>
    </row>
    <row r="45" spans="1:5" x14ac:dyDescent="0.25">
      <c r="A45" s="335" t="s">
        <v>1057</v>
      </c>
      <c r="B45" s="50"/>
      <c r="C45" s="50"/>
    </row>
    <row r="46" spans="1:5" x14ac:dyDescent="0.25">
      <c r="A46" s="43"/>
      <c r="B46" s="51"/>
    </row>
    <row r="47" spans="1:5" x14ac:dyDescent="0.25">
      <c r="A47" s="43" t="s">
        <v>129</v>
      </c>
    </row>
    <row r="48" spans="1:5" ht="15.45" customHeight="1" x14ac:dyDescent="0.25">
      <c r="A48" s="53" t="s">
        <v>664</v>
      </c>
      <c r="B48" s="53"/>
      <c r="C48" s="53"/>
      <c r="D48" s="53"/>
      <c r="E48" s="53"/>
    </row>
    <row r="49" spans="1:5" ht="15.45" customHeight="1" x14ac:dyDescent="0.25">
      <c r="A49" s="53"/>
      <c r="B49" s="53"/>
      <c r="C49" s="53"/>
      <c r="D49" s="53"/>
      <c r="E49" s="53"/>
    </row>
    <row r="51" spans="1:5" x14ac:dyDescent="0.25">
      <c r="A51" s="43" t="s">
        <v>131</v>
      </c>
    </row>
    <row r="52" spans="1:5" s="38" customFormat="1" x14ac:dyDescent="0.3">
      <c r="A52" s="365" t="s">
        <v>844</v>
      </c>
      <c r="B52" s="365"/>
      <c r="C52" s="365"/>
      <c r="D52" s="365"/>
      <c r="E52" s="365"/>
    </row>
    <row r="53" spans="1:5" s="38" customFormat="1" x14ac:dyDescent="0.3">
      <c r="A53" s="365"/>
      <c r="B53" s="365"/>
      <c r="C53" s="365"/>
      <c r="D53" s="365"/>
      <c r="E53" s="365"/>
    </row>
    <row r="54" spans="1:5" s="38" customFormat="1" x14ac:dyDescent="0.3">
      <c r="A54" s="5" t="s">
        <v>772</v>
      </c>
      <c r="B54" s="55"/>
      <c r="C54" s="55"/>
      <c r="D54" s="55"/>
      <c r="E54" s="55"/>
    </row>
    <row r="55" spans="1:5" s="38" customFormat="1" x14ac:dyDescent="0.3">
      <c r="B55" s="34"/>
      <c r="C55" s="34"/>
      <c r="D55" s="34"/>
      <c r="E55" s="34"/>
    </row>
    <row r="56" spans="1:5" s="38" customFormat="1" x14ac:dyDescent="0.25">
      <c r="D56" s="37"/>
    </row>
    <row r="57" spans="1:5" x14ac:dyDescent="0.25">
      <c r="A57" s="364" t="s">
        <v>1071</v>
      </c>
      <c r="B57" s="364"/>
      <c r="C57" s="364"/>
      <c r="D57" s="364"/>
      <c r="E57" s="364"/>
    </row>
    <row r="58" spans="1:5" x14ac:dyDescent="0.25">
      <c r="A58" s="364"/>
      <c r="B58" s="364"/>
      <c r="C58" s="364"/>
      <c r="D58" s="364"/>
      <c r="E58" s="364"/>
    </row>
  </sheetData>
  <sheetProtection algorithmName="SHA-512" hashValue="CWzmQb/YX2UQqMay53NMjBqExQPV9P93LcIdTxmX19cm5yIkTKclPiWYBKpqz3Gpii/N8M7QttYkFw9RuaqoeQ==" saltValue="VFlT6gQPmvzb+7/SBlgjdQ==" spinCount="100000" sheet="1" formatCells="0" formatColumns="0" formatRows="0" insertColumns="0" insertRows="0" insertHyperlinks="0" deleteColumns="0" deleteRows="0"/>
  <mergeCells count="2">
    <mergeCell ref="A57:E58"/>
    <mergeCell ref="A52:E53"/>
  </mergeCells>
  <hyperlinks>
    <hyperlink ref="A2" location="Index!B42" display="[Back to Index]" xr:uid="{CAFD3516-8213-4994-9AFD-78624B25D8D3}"/>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C126D-1B3A-4F40-BF7A-F54FE75B3CEA}">
  <sheetPr codeName="Sheet2">
    <tabColor theme="7" tint="0.79998168889431442"/>
  </sheetPr>
  <dimension ref="A1:E57"/>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2</v>
      </c>
      <c r="B1" s="2" t="s">
        <v>73</v>
      </c>
      <c r="C1" s="80">
        <v>31.937560000000001</v>
      </c>
      <c r="D1" s="4" t="s">
        <v>1045</v>
      </c>
    </row>
    <row r="2" spans="1:5" s="5" customFormat="1" x14ac:dyDescent="0.25">
      <c r="A2" s="324" t="s">
        <v>74</v>
      </c>
      <c r="C2" s="80">
        <v>0.23312089999999999</v>
      </c>
      <c r="D2" s="4" t="s">
        <v>1046</v>
      </c>
    </row>
    <row r="3" spans="1:5" x14ac:dyDescent="0.25">
      <c r="A3" s="154"/>
      <c r="B3" s="222"/>
      <c r="C3" s="142"/>
    </row>
    <row r="4" spans="1:5" s="10" customFormat="1" x14ac:dyDescent="0.3">
      <c r="A4" s="8" t="s">
        <v>75</v>
      </c>
      <c r="B4" s="9" t="s">
        <v>817</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45" x14ac:dyDescent="0.25">
      <c r="A7" s="14" t="s">
        <v>84</v>
      </c>
      <c r="B7" s="17"/>
      <c r="C7" s="17"/>
      <c r="D7" s="13"/>
      <c r="E7" s="14"/>
    </row>
    <row r="8" spans="1:5" ht="30" x14ac:dyDescent="0.25">
      <c r="A8" s="11" t="s">
        <v>87</v>
      </c>
      <c r="B8" s="12">
        <f>SUM(B9:B11)</f>
        <v>0</v>
      </c>
      <c r="C8" s="12">
        <f>SUM(C9:C11)</f>
        <v>0</v>
      </c>
      <c r="D8" s="13"/>
      <c r="E8" s="14"/>
    </row>
    <row r="9" spans="1:5" ht="60" x14ac:dyDescent="0.25">
      <c r="A9" s="14" t="s">
        <v>88</v>
      </c>
      <c r="B9" s="16"/>
      <c r="C9" s="16"/>
      <c r="D9" s="13"/>
      <c r="E9" s="14"/>
    </row>
    <row r="10" spans="1:5" ht="45" x14ac:dyDescent="0.25">
      <c r="A10" s="14" t="s">
        <v>90</v>
      </c>
      <c r="B10" s="16"/>
      <c r="C10" s="16"/>
      <c r="D10" s="13"/>
      <c r="E10" s="14"/>
    </row>
    <row r="11" spans="1:5" x14ac:dyDescent="0.25">
      <c r="A11" s="14" t="s">
        <v>92</v>
      </c>
      <c r="B11" s="19"/>
      <c r="C11" s="19"/>
      <c r="D11" s="13"/>
      <c r="E11" s="14"/>
    </row>
    <row r="12" spans="1:5" ht="45" x14ac:dyDescent="0.25">
      <c r="A12" s="11" t="s">
        <v>93</v>
      </c>
      <c r="B12" s="12">
        <f>SUM(B13:B14)</f>
        <v>250000000</v>
      </c>
      <c r="C12" s="12">
        <f>SUM(C13:C14)</f>
        <v>176678445.22968197</v>
      </c>
      <c r="D12" s="13"/>
      <c r="E12" s="14"/>
    </row>
    <row r="13" spans="1:5" ht="45" x14ac:dyDescent="0.25">
      <c r="A13" s="14" t="s">
        <v>94</v>
      </c>
      <c r="B13" s="23"/>
      <c r="C13" s="23"/>
      <c r="D13" s="13"/>
      <c r="E13" s="14"/>
    </row>
    <row r="14" spans="1:5" ht="195" x14ac:dyDescent="0.25">
      <c r="A14" s="14" t="s">
        <v>96</v>
      </c>
      <c r="B14" s="16">
        <f>250*10^6</f>
        <v>250000000</v>
      </c>
      <c r="C14" s="16">
        <f>B14/$B$36</f>
        <v>176678445.22968197</v>
      </c>
      <c r="D14" s="13" t="s">
        <v>818</v>
      </c>
      <c r="E14" s="14" t="s">
        <v>819</v>
      </c>
    </row>
    <row r="15" spans="1:5" ht="45" x14ac:dyDescent="0.25">
      <c r="A15" s="11" t="s">
        <v>97</v>
      </c>
      <c r="B15" s="12"/>
      <c r="C15" s="12"/>
      <c r="D15" s="13"/>
      <c r="E15" s="14"/>
    </row>
    <row r="16" spans="1:5" ht="60" x14ac:dyDescent="0.25">
      <c r="A16" s="11" t="s">
        <v>98</v>
      </c>
      <c r="B16" s="12">
        <f>SUM(B17:B18)</f>
        <v>0</v>
      </c>
      <c r="C16" s="12">
        <f>SUM(C17:C18)</f>
        <v>0</v>
      </c>
      <c r="D16" s="13" t="s">
        <v>820</v>
      </c>
      <c r="E16" s="13" t="s">
        <v>805</v>
      </c>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6"/>
      <c r="C19" s="16"/>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0</v>
      </c>
      <c r="C26" s="12">
        <f>SUM(C27:C29)</f>
        <v>0</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x14ac:dyDescent="0.25">
      <c r="A32" s="11" t="s">
        <v>119</v>
      </c>
      <c r="B32" s="30"/>
      <c r="C32" s="12"/>
      <c r="D32" s="13"/>
      <c r="E32" s="14"/>
    </row>
    <row r="33" spans="1:5" x14ac:dyDescent="0.25">
      <c r="A33" s="31"/>
      <c r="B33" s="120"/>
      <c r="C33" s="120"/>
      <c r="D33" s="33"/>
      <c r="E33" s="34"/>
    </row>
    <row r="34" spans="1:5" x14ac:dyDescent="0.25">
      <c r="A34" s="35" t="s">
        <v>120</v>
      </c>
      <c r="B34" s="39">
        <f>SUM(B5,B8,B12,B15,B16)</f>
        <v>250000000</v>
      </c>
      <c r="C34" s="39">
        <f>SUM(C5,C8,C12,C15,C16)</f>
        <v>176678445.22968197</v>
      </c>
    </row>
    <row r="35" spans="1:5" x14ac:dyDescent="0.25">
      <c r="A35" s="31"/>
      <c r="B35" s="39"/>
      <c r="C35" s="40"/>
    </row>
    <row r="36" spans="1:5" x14ac:dyDescent="0.25">
      <c r="A36" s="31" t="s">
        <v>121</v>
      </c>
      <c r="B36" s="88">
        <v>1.415</v>
      </c>
      <c r="C36" s="42"/>
    </row>
    <row r="37" spans="1:5" x14ac:dyDescent="0.25">
      <c r="A37" s="43" t="s">
        <v>122</v>
      </c>
      <c r="B37" s="45">
        <v>16907000000</v>
      </c>
      <c r="C37" s="45">
        <v>12455000000</v>
      </c>
    </row>
    <row r="38" spans="1:5" x14ac:dyDescent="0.25">
      <c r="A38" s="43" t="s">
        <v>123</v>
      </c>
      <c r="B38" s="45">
        <v>428962</v>
      </c>
      <c r="C38" s="45"/>
    </row>
    <row r="39" spans="1:5" x14ac:dyDescent="0.25">
      <c r="A39" s="43"/>
      <c r="B39" s="44"/>
      <c r="C39" s="44"/>
    </row>
    <row r="40" spans="1:5" x14ac:dyDescent="0.25">
      <c r="A40" s="5"/>
      <c r="B40" s="46" t="s">
        <v>821</v>
      </c>
      <c r="C40" s="47" t="s">
        <v>125</v>
      </c>
    </row>
    <row r="41" spans="1:5" x14ac:dyDescent="0.25">
      <c r="A41" s="43" t="s">
        <v>126</v>
      </c>
      <c r="B41" s="48">
        <f>$B37/$B$38</f>
        <v>39413.747604682932</v>
      </c>
      <c r="C41" s="48">
        <f>$C37/$B$38</f>
        <v>29035.205915675513</v>
      </c>
    </row>
    <row r="42" spans="1:5" x14ac:dyDescent="0.25">
      <c r="A42" s="43" t="s">
        <v>127</v>
      </c>
      <c r="B42" s="49">
        <f>($B34/$B37)*100</f>
        <v>1.4786774708700539</v>
      </c>
      <c r="C42" s="49"/>
    </row>
    <row r="43" spans="1:5" x14ac:dyDescent="0.25">
      <c r="A43" s="43" t="s">
        <v>128</v>
      </c>
      <c r="B43" s="50">
        <f>$B34/$B$38</f>
        <v>582.80220625603204</v>
      </c>
      <c r="C43" s="50">
        <f>$C34/$B$38</f>
        <v>411.87435071097667</v>
      </c>
    </row>
    <row r="44" spans="1:5" x14ac:dyDescent="0.25">
      <c r="A44" s="43"/>
      <c r="B44" s="50"/>
      <c r="C44" s="50"/>
    </row>
    <row r="45" spans="1:5" x14ac:dyDescent="0.25">
      <c r="A45" s="5" t="s">
        <v>1052</v>
      </c>
      <c r="B45" s="50"/>
      <c r="C45" s="50"/>
    </row>
    <row r="46" spans="1:5" x14ac:dyDescent="0.25">
      <c r="A46" s="43"/>
      <c r="B46" s="50"/>
      <c r="C46" s="50"/>
    </row>
    <row r="47" spans="1:5" x14ac:dyDescent="0.25">
      <c r="A47" s="43"/>
      <c r="B47" s="51"/>
    </row>
    <row r="48" spans="1:5" x14ac:dyDescent="0.25">
      <c r="A48" s="43" t="s">
        <v>129</v>
      </c>
    </row>
    <row r="49" spans="1:5" ht="15.45" customHeight="1" x14ac:dyDescent="0.25">
      <c r="A49" s="53" t="s">
        <v>664</v>
      </c>
      <c r="B49" s="53"/>
      <c r="C49" s="53"/>
      <c r="D49" s="53"/>
      <c r="E49" s="53"/>
    </row>
    <row r="50" spans="1:5" ht="15.45" customHeight="1" x14ac:dyDescent="0.25">
      <c r="A50" s="53"/>
      <c r="B50" s="53"/>
      <c r="C50" s="53"/>
      <c r="D50" s="53"/>
      <c r="E50" s="53"/>
    </row>
    <row r="52" spans="1:5" x14ac:dyDescent="0.25">
      <c r="A52" s="43" t="s">
        <v>131</v>
      </c>
    </row>
    <row r="53" spans="1:5" s="38" customFormat="1" x14ac:dyDescent="0.3">
      <c r="A53" s="53" t="s">
        <v>664</v>
      </c>
      <c r="B53" s="55"/>
      <c r="C53" s="55"/>
      <c r="D53" s="55"/>
      <c r="E53" s="55"/>
    </row>
    <row r="54" spans="1:5" s="38" customFormat="1" x14ac:dyDescent="0.3">
      <c r="A54" s="230"/>
      <c r="B54" s="55"/>
      <c r="C54" s="55"/>
      <c r="D54" s="55"/>
      <c r="E54" s="55"/>
    </row>
    <row r="55" spans="1:5" s="38" customFormat="1" x14ac:dyDescent="0.3">
      <c r="B55" s="34"/>
      <c r="C55" s="34"/>
      <c r="D55" s="34"/>
      <c r="E55" s="34"/>
    </row>
    <row r="56" spans="1:5" x14ac:dyDescent="0.25">
      <c r="A56" s="364" t="s">
        <v>1060</v>
      </c>
      <c r="B56" s="364"/>
      <c r="C56" s="364"/>
      <c r="D56" s="364"/>
      <c r="E56" s="364"/>
    </row>
    <row r="57" spans="1:5" ht="30" customHeight="1" x14ac:dyDescent="0.25">
      <c r="A57" s="364"/>
      <c r="B57" s="364"/>
      <c r="C57" s="364"/>
      <c r="D57" s="364"/>
      <c r="E57" s="364"/>
    </row>
  </sheetData>
  <sheetProtection algorithmName="SHA-512" hashValue="RuFE3eY6ZHU2NvPtbxNpBBQvzlCmFcyZTuO9ngcmPjIP2CZUTE9+98cTP4uI/v1NQV96dU7vcgDiqF+pmWgmgw==" saltValue="Zb0G8ie+zNkKr+UJ6T6JcA==" spinCount="100000" sheet="1" formatCells="0" formatColumns="0" formatRows="0" insertColumns="0" insertRows="0" insertHyperlinks="0" deleteColumns="0" deleteRows="0" sort="0" autoFilter="0" pivotTables="0"/>
  <mergeCells count="1">
    <mergeCell ref="A56:E57"/>
  </mergeCells>
  <hyperlinks>
    <hyperlink ref="A2" location="Index!B22" display="[Back to Index]" xr:uid="{33B3EDE6-E68C-4936-8B45-104FEE111007}"/>
  </hyperlink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9FC1-D8E4-4B3B-ABC2-256589274B5B}">
  <sheetPr codeName="Sheet20">
    <tabColor theme="8" tint="0.79998168889431442"/>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2" width="27.5546875" style="70" customWidth="1"/>
    <col min="3" max="3" width="27.77734375" style="70" customWidth="1"/>
    <col min="4" max="4" width="95.77734375" style="70" customWidth="1"/>
    <col min="5" max="5" width="40.77734375" style="70" customWidth="1"/>
    <col min="6" max="16384" width="8.77734375" style="37"/>
  </cols>
  <sheetData>
    <row r="1" spans="1:5" s="7" customFormat="1" ht="17.399999999999999" x14ac:dyDescent="0.25">
      <c r="A1" s="112" t="s">
        <v>60</v>
      </c>
      <c r="B1" s="2" t="s">
        <v>73</v>
      </c>
      <c r="C1" s="84">
        <v>8.1335599999999994E-2</v>
      </c>
      <c r="D1" s="4" t="s">
        <v>1045</v>
      </c>
    </row>
    <row r="2" spans="1:5" s="7" customFormat="1" x14ac:dyDescent="0.25">
      <c r="A2" s="324" t="s">
        <v>74</v>
      </c>
      <c r="C2" s="84">
        <v>0</v>
      </c>
      <c r="D2" s="4" t="s">
        <v>1046</v>
      </c>
    </row>
    <row r="3" spans="1:5" x14ac:dyDescent="0.25">
      <c r="A3" s="35"/>
      <c r="B3" s="176"/>
      <c r="C3" s="175"/>
    </row>
    <row r="4" spans="1:5" s="62" customFormat="1" x14ac:dyDescent="0.3">
      <c r="A4" s="9" t="s">
        <v>75</v>
      </c>
      <c r="B4" s="115" t="s">
        <v>594</v>
      </c>
      <c r="C4" s="9" t="s">
        <v>77</v>
      </c>
      <c r="D4" s="115" t="s">
        <v>78</v>
      </c>
      <c r="E4" s="9" t="s">
        <v>79</v>
      </c>
    </row>
    <row r="5" spans="1:5" s="63" customFormat="1" ht="60" x14ac:dyDescent="0.25">
      <c r="A5" s="22" t="s">
        <v>80</v>
      </c>
      <c r="B5" s="12">
        <f>SUM(B6:B7)</f>
        <v>0</v>
      </c>
      <c r="C5" s="12">
        <f>SUM(C6:C7)</f>
        <v>0</v>
      </c>
      <c r="D5" s="13"/>
      <c r="E5" s="13"/>
    </row>
    <row r="6" spans="1:5" s="63" customFormat="1" ht="45" x14ac:dyDescent="0.25">
      <c r="A6" s="13" t="s">
        <v>81</v>
      </c>
      <c r="B6" s="16"/>
      <c r="C6" s="16"/>
      <c r="D6" s="13"/>
      <c r="E6" s="13"/>
    </row>
    <row r="7" spans="1:5" s="63" customFormat="1" ht="60" x14ac:dyDescent="0.25">
      <c r="A7" s="13" t="s">
        <v>84</v>
      </c>
      <c r="B7" s="17"/>
      <c r="C7" s="17"/>
      <c r="D7" s="13" t="s">
        <v>595</v>
      </c>
      <c r="E7" s="13" t="s">
        <v>83</v>
      </c>
    </row>
    <row r="8" spans="1:5" ht="30" x14ac:dyDescent="0.25">
      <c r="A8" s="22" t="s">
        <v>87</v>
      </c>
      <c r="B8" s="12">
        <f>SUM(B9:B11)</f>
        <v>0</v>
      </c>
      <c r="C8" s="12">
        <f>SUM(C9:C11)</f>
        <v>0</v>
      </c>
      <c r="D8" s="13"/>
      <c r="E8" s="13"/>
    </row>
    <row r="9" spans="1:5" ht="60" x14ac:dyDescent="0.25">
      <c r="A9" s="13" t="s">
        <v>166</v>
      </c>
      <c r="B9" s="16"/>
      <c r="C9" s="16"/>
      <c r="D9" s="13"/>
      <c r="E9" s="13"/>
    </row>
    <row r="10" spans="1:5" ht="82.8" customHeight="1" x14ac:dyDescent="0.25">
      <c r="A10" s="13" t="s">
        <v>90</v>
      </c>
      <c r="B10" s="16"/>
      <c r="C10" s="16"/>
      <c r="D10" s="13" t="s">
        <v>596</v>
      </c>
      <c r="E10" s="13" t="s">
        <v>83</v>
      </c>
    </row>
    <row r="11" spans="1:5" x14ac:dyDescent="0.25">
      <c r="A11" s="13" t="s">
        <v>92</v>
      </c>
      <c r="B11" s="16"/>
      <c r="C11" s="16"/>
      <c r="D11" s="13"/>
      <c r="E11" s="13"/>
    </row>
    <row r="12" spans="1:5" ht="45" x14ac:dyDescent="0.25">
      <c r="A12" s="22" t="s">
        <v>93</v>
      </c>
      <c r="B12" s="12">
        <f>SUM(B13:B14)</f>
        <v>600000000</v>
      </c>
      <c r="C12" s="12">
        <f>SUM(C13:C14)</f>
        <v>175199976.17280325</v>
      </c>
      <c r="D12" s="13"/>
      <c r="E12" s="13"/>
    </row>
    <row r="13" spans="1:5" ht="45" x14ac:dyDescent="0.25">
      <c r="A13" s="13" t="s">
        <v>171</v>
      </c>
      <c r="B13" s="16">
        <f>600*10^6</f>
        <v>600000000</v>
      </c>
      <c r="C13" s="16">
        <f>+B13/$B$36</f>
        <v>175199976.17280325</v>
      </c>
      <c r="D13" s="13" t="s">
        <v>597</v>
      </c>
      <c r="E13" s="13"/>
    </row>
    <row r="14" spans="1:5" ht="67.2" customHeight="1" x14ac:dyDescent="0.25">
      <c r="A14" s="13" t="s">
        <v>96</v>
      </c>
      <c r="B14" s="16"/>
      <c r="C14" s="16"/>
      <c r="D14" s="13" t="s">
        <v>598</v>
      </c>
      <c r="E14" s="13" t="s">
        <v>83</v>
      </c>
    </row>
    <row r="15" spans="1:5" ht="45" x14ac:dyDescent="0.25">
      <c r="A15" s="22" t="s">
        <v>97</v>
      </c>
      <c r="B15" s="12"/>
      <c r="C15" s="12"/>
      <c r="D15" s="13"/>
      <c r="E15" s="13"/>
    </row>
    <row r="16" spans="1:5" ht="30" x14ac:dyDescent="0.25">
      <c r="A16" s="22" t="s">
        <v>98</v>
      </c>
      <c r="B16" s="12">
        <f>SUM(B17:B18)</f>
        <v>510000000</v>
      </c>
      <c r="C16" s="12">
        <f>SUM(C17:C18)</f>
        <v>148919979.74688277</v>
      </c>
      <c r="D16" s="13"/>
      <c r="E16" s="13"/>
    </row>
    <row r="17" spans="1:5" ht="137.55000000000001" customHeight="1" x14ac:dyDescent="0.25">
      <c r="A17" s="13" t="s">
        <v>99</v>
      </c>
      <c r="B17" s="16">
        <v>10000000</v>
      </c>
      <c r="C17" s="16">
        <f>+B17/$B$36</f>
        <v>2919999.6028800542</v>
      </c>
      <c r="D17" s="24" t="s">
        <v>599</v>
      </c>
      <c r="E17" s="13" t="s">
        <v>600</v>
      </c>
    </row>
    <row r="18" spans="1:5" ht="96" customHeight="1" x14ac:dyDescent="0.25">
      <c r="A18" s="13" t="s">
        <v>101</v>
      </c>
      <c r="B18" s="16">
        <f>500*10^6</f>
        <v>500000000</v>
      </c>
      <c r="C18" s="16">
        <f>+B18/$B$36</f>
        <v>145999980.14400271</v>
      </c>
      <c r="D18" s="13" t="s">
        <v>601</v>
      </c>
      <c r="E18" s="13" t="s">
        <v>83</v>
      </c>
    </row>
    <row r="19" spans="1:5" ht="30" x14ac:dyDescent="0.25">
      <c r="A19" s="22" t="s">
        <v>103</v>
      </c>
      <c r="B19" s="16"/>
      <c r="C19" s="16"/>
      <c r="D19" s="13"/>
      <c r="E19" s="66"/>
    </row>
    <row r="20" spans="1:5" x14ac:dyDescent="0.25">
      <c r="A20" s="13" t="s">
        <v>104</v>
      </c>
      <c r="B20" s="16"/>
      <c r="C20" s="16"/>
      <c r="D20" s="13"/>
      <c r="E20" s="66"/>
    </row>
    <row r="21" spans="1:5" ht="30" x14ac:dyDescent="0.25">
      <c r="A21" s="22" t="s">
        <v>105</v>
      </c>
      <c r="B21" s="12">
        <f>SUM(B22,B24)</f>
        <v>0</v>
      </c>
      <c r="C21" s="12">
        <f>SUM(C22,C24)</f>
        <v>0</v>
      </c>
      <c r="D21" s="13"/>
      <c r="E21" s="13"/>
    </row>
    <row r="22" spans="1:5" x14ac:dyDescent="0.25">
      <c r="A22" s="22" t="s">
        <v>108</v>
      </c>
      <c r="B22" s="16"/>
      <c r="C22" s="16"/>
      <c r="D22" s="13"/>
      <c r="E22" s="13"/>
    </row>
    <row r="23" spans="1:5" x14ac:dyDescent="0.25">
      <c r="A23" s="13" t="s">
        <v>109</v>
      </c>
      <c r="B23" s="16"/>
      <c r="C23" s="16"/>
      <c r="D23" s="13"/>
      <c r="E23" s="13"/>
    </row>
    <row r="24" spans="1:5" ht="53.4" customHeight="1" x14ac:dyDescent="0.25">
      <c r="A24" s="22" t="s">
        <v>110</v>
      </c>
      <c r="B24" s="16"/>
      <c r="C24" s="16"/>
      <c r="D24" s="13" t="s">
        <v>602</v>
      </c>
      <c r="E24" s="13" t="s">
        <v>83</v>
      </c>
    </row>
    <row r="25" spans="1:5" x14ac:dyDescent="0.25">
      <c r="A25" s="13" t="s">
        <v>109</v>
      </c>
      <c r="B25" s="16"/>
      <c r="C25" s="16"/>
      <c r="D25" s="13"/>
      <c r="E25" s="13"/>
    </row>
    <row r="26" spans="1:5" x14ac:dyDescent="0.25">
      <c r="A26" s="22" t="s">
        <v>111</v>
      </c>
      <c r="B26" s="16">
        <f>SUM(B27:B29)</f>
        <v>0</v>
      </c>
      <c r="C26" s="16">
        <f>SUM(C27:C29)</f>
        <v>0</v>
      </c>
      <c r="D26" s="13"/>
      <c r="E26" s="13"/>
    </row>
    <row r="27" spans="1:5" ht="60" x14ac:dyDescent="0.25">
      <c r="A27" s="13" t="s">
        <v>112</v>
      </c>
      <c r="B27" s="16"/>
      <c r="C27" s="16"/>
      <c r="D27" s="13"/>
      <c r="E27" s="13" t="s">
        <v>83</v>
      </c>
    </row>
    <row r="28" spans="1:5" ht="54" customHeight="1" x14ac:dyDescent="0.25">
      <c r="A28" s="13" t="s">
        <v>115</v>
      </c>
      <c r="B28" s="16"/>
      <c r="C28" s="16"/>
      <c r="D28" s="13" t="s">
        <v>603</v>
      </c>
      <c r="E28" s="13" t="s">
        <v>83</v>
      </c>
    </row>
    <row r="29" spans="1:5" x14ac:dyDescent="0.25">
      <c r="A29" s="13" t="s">
        <v>116</v>
      </c>
      <c r="B29" s="16">
        <f>SUM(B30:B31)</f>
        <v>0</v>
      </c>
      <c r="C29" s="16">
        <f>SUM(C30:C31)</f>
        <v>0</v>
      </c>
      <c r="D29" s="13"/>
      <c r="E29" s="13"/>
    </row>
    <row r="30" spans="1:5" x14ac:dyDescent="0.25">
      <c r="A30" s="13" t="s">
        <v>117</v>
      </c>
      <c r="B30" s="16"/>
      <c r="C30" s="16"/>
      <c r="D30" s="13"/>
      <c r="E30" s="13"/>
    </row>
    <row r="31" spans="1:5" x14ac:dyDescent="0.25">
      <c r="A31" s="13" t="s">
        <v>118</v>
      </c>
      <c r="B31" s="16"/>
      <c r="C31" s="16"/>
      <c r="D31" s="13"/>
      <c r="E31" s="13"/>
    </row>
    <row r="32" spans="1:5" ht="64.2" customHeight="1" x14ac:dyDescent="0.25">
      <c r="A32" s="22" t="s">
        <v>119</v>
      </c>
      <c r="B32" s="12">
        <f>+(5.6-0.6-0.5-0.01)*10^9</f>
        <v>4490000000</v>
      </c>
      <c r="C32" s="20">
        <f>+B32/$B$36</f>
        <v>1311079821.6931443</v>
      </c>
      <c r="D32" s="13" t="s">
        <v>604</v>
      </c>
      <c r="E32" s="13" t="s">
        <v>83</v>
      </c>
    </row>
    <row r="33" spans="1:5" x14ac:dyDescent="0.25">
      <c r="A33" s="35"/>
      <c r="B33" s="176"/>
      <c r="C33" s="176"/>
      <c r="D33" s="33"/>
      <c r="E33" s="33"/>
    </row>
    <row r="34" spans="1:5" x14ac:dyDescent="0.25">
      <c r="A34" s="35" t="s">
        <v>120</v>
      </c>
      <c r="B34" s="71">
        <f>SUM(B5,B8,B12,B15,B16,B32)</f>
        <v>5600000000</v>
      </c>
      <c r="C34" s="71">
        <f>SUM(C5,C8,C12,C15,C16,C32)</f>
        <v>1635199777.6128304</v>
      </c>
      <c r="D34" s="37" t="s">
        <v>154</v>
      </c>
    </row>
    <row r="35" spans="1:5" x14ac:dyDescent="0.25">
      <c r="A35" s="35"/>
      <c r="B35" s="71"/>
      <c r="C35" s="72"/>
    </row>
    <row r="36" spans="1:5" x14ac:dyDescent="0.25">
      <c r="A36" s="35" t="s">
        <v>155</v>
      </c>
      <c r="B36" s="210">
        <v>3.424658</v>
      </c>
      <c r="C36" s="74"/>
    </row>
    <row r="37" spans="1:5" x14ac:dyDescent="0.25">
      <c r="A37" s="75" t="s">
        <v>122</v>
      </c>
      <c r="B37" s="179">
        <v>80173000000</v>
      </c>
      <c r="C37" s="179">
        <v>23587000000</v>
      </c>
    </row>
    <row r="38" spans="1:5" x14ac:dyDescent="0.25">
      <c r="A38" s="75" t="s">
        <v>123</v>
      </c>
      <c r="B38" s="179">
        <v>8606316</v>
      </c>
      <c r="C38" s="162"/>
    </row>
    <row r="39" spans="1:5" x14ac:dyDescent="0.25">
      <c r="A39" s="75"/>
      <c r="B39" s="76"/>
      <c r="C39" s="76"/>
    </row>
    <row r="40" spans="1:5" x14ac:dyDescent="0.25">
      <c r="A40" s="7"/>
      <c r="B40" s="191" t="s">
        <v>605</v>
      </c>
      <c r="C40" s="47" t="s">
        <v>125</v>
      </c>
    </row>
    <row r="41" spans="1:5" x14ac:dyDescent="0.25">
      <c r="A41" s="75" t="s">
        <v>126</v>
      </c>
      <c r="B41" s="48">
        <f>$B37/$B38</f>
        <v>9315.6003102837494</v>
      </c>
      <c r="C41" s="48">
        <f>$C37/$B38</f>
        <v>2740.6616257176706</v>
      </c>
    </row>
    <row r="42" spans="1:5" x14ac:dyDescent="0.25">
      <c r="A42" s="75" t="s">
        <v>127</v>
      </c>
      <c r="B42" s="49">
        <f>($B34/$B37)*100</f>
        <v>6.9848951642074013</v>
      </c>
      <c r="C42" s="49"/>
    </row>
    <row r="43" spans="1:5" x14ac:dyDescent="0.25">
      <c r="A43" s="75" t="s">
        <v>128</v>
      </c>
      <c r="B43" s="78">
        <f>B34/B38</f>
        <v>650.68491558989933</v>
      </c>
      <c r="C43" s="78">
        <f>C34/B38</f>
        <v>189.99996951225478</v>
      </c>
    </row>
    <row r="44" spans="1:5" x14ac:dyDescent="0.25">
      <c r="A44" s="75"/>
      <c r="B44" s="78"/>
      <c r="C44" s="78"/>
    </row>
    <row r="45" spans="1:5" x14ac:dyDescent="0.25">
      <c r="A45" s="335" t="s">
        <v>1057</v>
      </c>
      <c r="B45" s="78"/>
      <c r="C45" s="78"/>
    </row>
    <row r="46" spans="1:5" x14ac:dyDescent="0.25">
      <c r="A46" s="75"/>
      <c r="B46" s="79"/>
    </row>
    <row r="47" spans="1:5" x14ac:dyDescent="0.25">
      <c r="A47" s="75" t="s">
        <v>129</v>
      </c>
    </row>
    <row r="48" spans="1:5" ht="15.45" customHeight="1" x14ac:dyDescent="0.25">
      <c r="A48" s="369" t="s">
        <v>606</v>
      </c>
      <c r="B48" s="369"/>
      <c r="C48" s="369"/>
      <c r="D48" s="369"/>
      <c r="E48" s="369"/>
    </row>
    <row r="49" spans="1:5" ht="15.45" customHeight="1" x14ac:dyDescent="0.25">
      <c r="A49" s="369"/>
      <c r="B49" s="369"/>
      <c r="C49" s="369"/>
      <c r="D49" s="369"/>
      <c r="E49" s="369"/>
    </row>
    <row r="50" spans="1:5" ht="15.45" customHeight="1" x14ac:dyDescent="0.25">
      <c r="A50" s="37" t="s">
        <v>607</v>
      </c>
      <c r="B50" s="138"/>
      <c r="C50" s="138"/>
      <c r="D50" s="139"/>
    </row>
    <row r="51" spans="1:5" ht="15.45" customHeight="1" x14ac:dyDescent="0.25">
      <c r="A51" s="7" t="s">
        <v>469</v>
      </c>
      <c r="B51" s="139"/>
      <c r="C51" s="139"/>
      <c r="D51" s="139"/>
    </row>
    <row r="53" spans="1:5" x14ac:dyDescent="0.25">
      <c r="A53" s="75" t="s">
        <v>131</v>
      </c>
    </row>
    <row r="54" spans="1:5" s="70" customFormat="1" x14ac:dyDescent="0.25">
      <c r="A54" s="37" t="s">
        <v>1051</v>
      </c>
    </row>
    <row r="55" spans="1:5" s="70" customFormat="1" x14ac:dyDescent="0.25">
      <c r="A55" s="37" t="s">
        <v>608</v>
      </c>
    </row>
    <row r="56" spans="1:5" s="70" customFormat="1" x14ac:dyDescent="0.3">
      <c r="A56" s="7" t="s">
        <v>469</v>
      </c>
    </row>
    <row r="57" spans="1:5" s="70" customFormat="1" x14ac:dyDescent="0.3">
      <c r="A57" s="7"/>
    </row>
    <row r="58" spans="1:5" s="70" customFormat="1" x14ac:dyDescent="0.3">
      <c r="A58" s="7"/>
    </row>
    <row r="59" spans="1:5" x14ac:dyDescent="0.25">
      <c r="A59" s="367" t="s">
        <v>1060</v>
      </c>
      <c r="B59" s="367"/>
      <c r="C59" s="367"/>
      <c r="D59" s="367"/>
      <c r="E59" s="367"/>
    </row>
    <row r="60" spans="1:5" x14ac:dyDescent="0.25">
      <c r="A60" s="367"/>
      <c r="B60" s="367"/>
      <c r="C60" s="367"/>
      <c r="D60" s="367"/>
      <c r="E60" s="367"/>
    </row>
  </sheetData>
  <sheetProtection algorithmName="SHA-512" hashValue="Fi7T/S6R3u04dxUU1ksJVn5QvNOAgfHkQcIEMlaN1K9cuW1uB4Fh7ROYkI3BoufEF1PSGviNL8nV8s2NCnhgWQ==" saltValue="T2O5l6FfQKC5LCgRX3e5zA==" spinCount="100000" sheet="1" formatCells="0" formatColumns="0" formatRows="0" insertColumns="0" insertRows="0" insertHyperlinks="0" deleteColumns="0" deleteRows="0" sort="0" autoFilter="0" pivotTables="0"/>
  <mergeCells count="2">
    <mergeCell ref="A59:E60"/>
    <mergeCell ref="A48:E49"/>
  </mergeCells>
  <hyperlinks>
    <hyperlink ref="A2" location="Index!B43" display="[Back to Index]" xr:uid="{9AF6FCF1-16AB-4CEB-982B-35A8FD57DF37}"/>
  </hyperlinks>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E5B2E-E021-4B2F-88E9-814A745AD9F0}">
  <sheetPr codeName="Sheet21">
    <tabColor theme="8" tint="0.79998168889431442"/>
  </sheetPr>
  <dimension ref="A1:E59"/>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49</v>
      </c>
      <c r="B1" s="2" t="s">
        <v>234</v>
      </c>
      <c r="C1" s="84">
        <v>0</v>
      </c>
      <c r="D1" s="4" t="s">
        <v>1045</v>
      </c>
    </row>
    <row r="2" spans="1:5" s="5" customFormat="1" x14ac:dyDescent="0.25">
      <c r="A2" s="324" t="s">
        <v>74</v>
      </c>
      <c r="C2" s="84">
        <v>0</v>
      </c>
      <c r="D2" s="4" t="s">
        <v>1046</v>
      </c>
    </row>
    <row r="3" spans="1:5" x14ac:dyDescent="0.25">
      <c r="A3" s="154"/>
      <c r="B3" s="222"/>
      <c r="C3" s="142"/>
    </row>
    <row r="4" spans="1:5" s="10" customFormat="1" x14ac:dyDescent="0.3">
      <c r="A4" s="8" t="s">
        <v>75</v>
      </c>
      <c r="B4" s="247" t="s">
        <v>77</v>
      </c>
      <c r="C4" s="234"/>
      <c r="D4" s="9" t="s">
        <v>78</v>
      </c>
      <c r="E4" s="8" t="s">
        <v>79</v>
      </c>
    </row>
    <row r="5" spans="1:5" s="15" customFormat="1" ht="60" x14ac:dyDescent="0.25">
      <c r="A5" s="248" t="s">
        <v>80</v>
      </c>
      <c r="B5" s="235">
        <f>SUM(B6:B7)</f>
        <v>0</v>
      </c>
      <c r="C5" s="236"/>
      <c r="D5" s="249"/>
      <c r="E5" s="14"/>
    </row>
    <row r="6" spans="1:5" s="15" customFormat="1" ht="45" x14ac:dyDescent="0.25">
      <c r="A6" s="250" t="s">
        <v>81</v>
      </c>
      <c r="B6" s="237"/>
      <c r="C6" s="238"/>
      <c r="D6" s="249"/>
      <c r="E6" s="14"/>
    </row>
    <row r="7" spans="1:5" s="15" customFormat="1" ht="45" x14ac:dyDescent="0.25">
      <c r="A7" s="250" t="s">
        <v>84</v>
      </c>
      <c r="B7" s="239"/>
      <c r="C7" s="240"/>
      <c r="D7" s="249"/>
      <c r="E7" s="14"/>
    </row>
    <row r="8" spans="1:5" ht="30" x14ac:dyDescent="0.25">
      <c r="A8" s="248" t="s">
        <v>87</v>
      </c>
      <c r="B8" s="235">
        <f>SUM(B9:B11)</f>
        <v>0</v>
      </c>
      <c r="C8" s="236"/>
      <c r="D8" s="249"/>
      <c r="E8" s="14"/>
    </row>
    <row r="9" spans="1:5" ht="60" x14ac:dyDescent="0.25">
      <c r="A9" s="250" t="s">
        <v>88</v>
      </c>
      <c r="B9" s="237"/>
      <c r="C9" s="238"/>
      <c r="D9" s="249"/>
      <c r="E9" s="14"/>
    </row>
    <row r="10" spans="1:5" ht="45" x14ac:dyDescent="0.25">
      <c r="A10" s="250" t="s">
        <v>90</v>
      </c>
      <c r="B10" s="237"/>
      <c r="C10" s="238"/>
      <c r="D10" s="249"/>
      <c r="E10" s="14"/>
    </row>
    <row r="11" spans="1:5" x14ac:dyDescent="0.25">
      <c r="A11" s="250" t="s">
        <v>92</v>
      </c>
      <c r="B11" s="241"/>
      <c r="C11" s="242"/>
      <c r="D11" s="249"/>
      <c r="E11" s="14"/>
    </row>
    <row r="12" spans="1:5" ht="45" x14ac:dyDescent="0.25">
      <c r="A12" s="248" t="s">
        <v>93</v>
      </c>
      <c r="B12" s="235">
        <f>SUM(B13:B14)</f>
        <v>0</v>
      </c>
      <c r="C12" s="236"/>
      <c r="D12" s="249"/>
      <c r="E12" s="14"/>
    </row>
    <row r="13" spans="1:5" ht="45" x14ac:dyDescent="0.25">
      <c r="A13" s="250" t="s">
        <v>94</v>
      </c>
      <c r="B13" s="243"/>
      <c r="C13" s="244"/>
      <c r="D13" s="249"/>
      <c r="E13" s="14"/>
    </row>
    <row r="14" spans="1:5" x14ac:dyDescent="0.25">
      <c r="A14" s="250" t="s">
        <v>96</v>
      </c>
      <c r="B14" s="237"/>
      <c r="C14" s="238"/>
      <c r="D14" s="249"/>
      <c r="E14" s="14"/>
    </row>
    <row r="15" spans="1:5" ht="45" x14ac:dyDescent="0.25">
      <c r="A15" s="248" t="s">
        <v>97</v>
      </c>
      <c r="B15" s="235"/>
      <c r="C15" s="236"/>
      <c r="D15" s="249"/>
      <c r="E15" s="14"/>
    </row>
    <row r="16" spans="1:5" ht="30" x14ac:dyDescent="0.25">
      <c r="A16" s="248" t="s">
        <v>98</v>
      </c>
      <c r="B16" s="235">
        <f>SUM(B17:B18)</f>
        <v>7000000</v>
      </c>
      <c r="C16" s="236"/>
      <c r="D16" s="249"/>
      <c r="E16" s="14"/>
    </row>
    <row r="17" spans="1:5" ht="60" x14ac:dyDescent="0.25">
      <c r="A17" s="251" t="s">
        <v>99</v>
      </c>
      <c r="B17" s="252">
        <v>7000000</v>
      </c>
      <c r="C17" s="253"/>
      <c r="D17" s="249" t="s">
        <v>836</v>
      </c>
      <c r="E17" s="14" t="s">
        <v>205</v>
      </c>
    </row>
    <row r="18" spans="1:5" x14ac:dyDescent="0.25">
      <c r="A18" s="251" t="s">
        <v>101</v>
      </c>
      <c r="B18" s="243"/>
      <c r="C18" s="244"/>
      <c r="D18" s="102"/>
      <c r="E18" s="13"/>
    </row>
    <row r="19" spans="1:5" ht="30" x14ac:dyDescent="0.25">
      <c r="A19" s="248" t="s">
        <v>103</v>
      </c>
      <c r="B19" s="235"/>
      <c r="C19" s="236"/>
      <c r="D19" s="249"/>
      <c r="E19" s="21"/>
    </row>
    <row r="20" spans="1:5" x14ac:dyDescent="0.25">
      <c r="A20" s="250" t="s">
        <v>104</v>
      </c>
      <c r="B20" s="237"/>
      <c r="C20" s="238"/>
      <c r="D20" s="249"/>
      <c r="E20" s="21"/>
    </row>
    <row r="21" spans="1:5" ht="30" x14ac:dyDescent="0.25">
      <c r="A21" s="254" t="s">
        <v>105</v>
      </c>
      <c r="B21" s="235">
        <f>SUM(B22,B24)</f>
        <v>0</v>
      </c>
      <c r="C21" s="235"/>
      <c r="D21" s="249"/>
      <c r="E21" s="14"/>
    </row>
    <row r="22" spans="1:5" x14ac:dyDescent="0.25">
      <c r="A22" s="254" t="s">
        <v>108</v>
      </c>
      <c r="B22" s="237"/>
      <c r="C22" s="238"/>
      <c r="D22" s="249"/>
      <c r="E22" s="14"/>
    </row>
    <row r="23" spans="1:5" x14ac:dyDescent="0.25">
      <c r="A23" s="251" t="s">
        <v>643</v>
      </c>
      <c r="B23" s="237"/>
      <c r="C23" s="238"/>
      <c r="D23" s="249"/>
      <c r="E23" s="14"/>
    </row>
    <row r="24" spans="1:5" x14ac:dyDescent="0.25">
      <c r="A24" s="254" t="s">
        <v>110</v>
      </c>
      <c r="B24" s="243"/>
      <c r="C24" s="244"/>
      <c r="D24" s="255"/>
      <c r="E24" s="14"/>
    </row>
    <row r="25" spans="1:5" x14ac:dyDescent="0.25">
      <c r="A25" s="251" t="s">
        <v>109</v>
      </c>
      <c r="B25" s="237"/>
      <c r="C25" s="244"/>
      <c r="D25" s="249"/>
      <c r="E25" s="14"/>
    </row>
    <row r="26" spans="1:5" x14ac:dyDescent="0.25">
      <c r="A26" s="254" t="s">
        <v>111</v>
      </c>
      <c r="B26" s="235">
        <f>SUM(B27:B29)</f>
        <v>370000</v>
      </c>
      <c r="C26" s="236"/>
      <c r="D26" s="249"/>
      <c r="E26" s="14"/>
    </row>
    <row r="27" spans="1:5" x14ac:dyDescent="0.25">
      <c r="A27" s="251" t="s">
        <v>112</v>
      </c>
      <c r="B27" s="237"/>
      <c r="C27" s="238"/>
      <c r="D27" s="249"/>
      <c r="E27" s="14"/>
    </row>
    <row r="28" spans="1:5" x14ac:dyDescent="0.25">
      <c r="A28" s="251" t="s">
        <v>115</v>
      </c>
      <c r="B28" s="237"/>
      <c r="C28" s="238"/>
      <c r="D28" s="249"/>
      <c r="E28" s="14"/>
    </row>
    <row r="29" spans="1:5" x14ac:dyDescent="0.25">
      <c r="A29" s="251" t="s">
        <v>116</v>
      </c>
      <c r="B29" s="237">
        <f>SUM(B30:B31)</f>
        <v>370000</v>
      </c>
      <c r="C29" s="238"/>
      <c r="D29" s="249"/>
      <c r="E29" s="14"/>
    </row>
    <row r="30" spans="1:5" x14ac:dyDescent="0.25">
      <c r="A30" s="251" t="s">
        <v>117</v>
      </c>
      <c r="B30" s="238">
        <f>0.37*10^6</f>
        <v>370000</v>
      </c>
      <c r="C30" s="238"/>
      <c r="D30" s="256" t="s">
        <v>837</v>
      </c>
      <c r="E30" s="24" t="s">
        <v>209</v>
      </c>
    </row>
    <row r="31" spans="1:5" x14ac:dyDescent="0.25">
      <c r="A31" s="251" t="s">
        <v>118</v>
      </c>
      <c r="B31" s="237"/>
      <c r="C31" s="238"/>
      <c r="D31" s="249"/>
      <c r="E31" s="14"/>
    </row>
    <row r="32" spans="1:5" x14ac:dyDescent="0.25">
      <c r="A32" s="248" t="s">
        <v>119</v>
      </c>
      <c r="B32" s="246"/>
      <c r="C32" s="236"/>
      <c r="D32" s="249"/>
      <c r="E32" s="14"/>
    </row>
    <row r="33" spans="1:5" x14ac:dyDescent="0.25">
      <c r="A33" s="31"/>
      <c r="B33" s="120"/>
      <c r="C33" s="120"/>
      <c r="D33" s="33"/>
      <c r="E33" s="34"/>
    </row>
    <row r="34" spans="1:5" x14ac:dyDescent="0.25">
      <c r="A34" s="35" t="s">
        <v>120</v>
      </c>
      <c r="B34" s="39">
        <f>SUM(B5,B8,B12,B15,B16)</f>
        <v>7000000</v>
      </c>
      <c r="C34" s="39"/>
    </row>
    <row r="35" spans="1:5" x14ac:dyDescent="0.25">
      <c r="A35" s="31"/>
      <c r="B35" s="39"/>
      <c r="C35" s="40"/>
    </row>
    <row r="36" spans="1:5" x14ac:dyDescent="0.25">
      <c r="A36" s="31" t="s">
        <v>121</v>
      </c>
      <c r="B36" s="88">
        <v>1</v>
      </c>
      <c r="C36" s="42"/>
    </row>
    <row r="37" spans="1:5" x14ac:dyDescent="0.25">
      <c r="A37" s="43" t="s">
        <v>122</v>
      </c>
      <c r="B37" s="45">
        <v>220000000</v>
      </c>
      <c r="C37" s="45"/>
    </row>
    <row r="38" spans="1:5" x14ac:dyDescent="0.25">
      <c r="A38" s="43" t="s">
        <v>123</v>
      </c>
      <c r="B38" s="45">
        <v>58413</v>
      </c>
      <c r="C38" s="45"/>
    </row>
    <row r="39" spans="1:5" x14ac:dyDescent="0.25">
      <c r="A39" s="43"/>
      <c r="B39" s="44"/>
      <c r="C39" s="44"/>
    </row>
    <row r="40" spans="1:5" x14ac:dyDescent="0.25">
      <c r="A40" s="5"/>
      <c r="B40" s="46" t="s">
        <v>125</v>
      </c>
      <c r="C40" s="47"/>
    </row>
    <row r="41" spans="1:5" x14ac:dyDescent="0.25">
      <c r="A41" s="43" t="s">
        <v>126</v>
      </c>
      <c r="B41" s="48">
        <f>$B37/$B$38</f>
        <v>3766.2849023333847</v>
      </c>
      <c r="C41" s="48"/>
    </row>
    <row r="42" spans="1:5" x14ac:dyDescent="0.25">
      <c r="A42" s="43" t="s">
        <v>127</v>
      </c>
      <c r="B42" s="49">
        <f>($B34/$B37)*100</f>
        <v>3.1818181818181817</v>
      </c>
      <c r="C42" s="49"/>
    </row>
    <row r="43" spans="1:5" x14ac:dyDescent="0.25">
      <c r="A43" s="43" t="s">
        <v>128</v>
      </c>
      <c r="B43" s="50">
        <f>$B34/$B$38</f>
        <v>119.83633780151679</v>
      </c>
      <c r="C43" s="153"/>
    </row>
    <row r="44" spans="1:5" x14ac:dyDescent="0.25">
      <c r="A44" s="43"/>
      <c r="B44" s="50"/>
      <c r="C44" s="50"/>
    </row>
    <row r="45" spans="1:5" x14ac:dyDescent="0.25">
      <c r="A45" s="335" t="s">
        <v>1057</v>
      </c>
      <c r="B45" s="50"/>
      <c r="C45" s="50"/>
    </row>
    <row r="46" spans="1:5" x14ac:dyDescent="0.25">
      <c r="A46" s="43"/>
      <c r="B46" s="51"/>
    </row>
    <row r="47" spans="1:5" x14ac:dyDescent="0.25">
      <c r="A47" s="43" t="s">
        <v>129</v>
      </c>
    </row>
    <row r="48" spans="1:5" ht="15.6" customHeight="1" x14ac:dyDescent="0.25">
      <c r="A48" s="53" t="s">
        <v>664</v>
      </c>
      <c r="B48" s="53"/>
      <c r="C48" s="53"/>
      <c r="D48" s="53"/>
      <c r="E48" s="53"/>
    </row>
    <row r="49" spans="1:5" ht="15.6" customHeight="1" x14ac:dyDescent="0.25">
      <c r="A49" s="53"/>
      <c r="B49" s="53"/>
      <c r="C49" s="53"/>
      <c r="D49" s="53"/>
      <c r="E49" s="53"/>
    </row>
    <row r="51" spans="1:5" x14ac:dyDescent="0.25">
      <c r="A51" s="43" t="s">
        <v>131</v>
      </c>
    </row>
    <row r="52" spans="1:5" s="38" customFormat="1" x14ac:dyDescent="0.3">
      <c r="A52" s="230" t="s">
        <v>838</v>
      </c>
      <c r="B52" s="55"/>
      <c r="C52" s="55"/>
      <c r="D52" s="55"/>
      <c r="E52" s="55"/>
    </row>
    <row r="53" spans="1:5" s="38" customFormat="1" x14ac:dyDescent="0.3">
      <c r="A53" s="365" t="s">
        <v>839</v>
      </c>
      <c r="B53" s="365"/>
      <c r="C53" s="365"/>
      <c r="D53" s="365"/>
      <c r="E53" s="365"/>
    </row>
    <row r="54" spans="1:5" s="38" customFormat="1" x14ac:dyDescent="0.3">
      <c r="A54" s="365"/>
      <c r="B54" s="365"/>
      <c r="C54" s="365"/>
      <c r="D54" s="365"/>
      <c r="E54" s="365"/>
    </row>
    <row r="55" spans="1:5" s="38" customFormat="1" x14ac:dyDescent="0.25">
      <c r="A55" s="5" t="s">
        <v>840</v>
      </c>
      <c r="D55" s="37"/>
    </row>
    <row r="56" spans="1:5" s="38" customFormat="1" x14ac:dyDescent="0.25">
      <c r="D56" s="37"/>
    </row>
    <row r="57" spans="1:5" s="38" customFormat="1" x14ac:dyDescent="0.25">
      <c r="A57" s="5"/>
      <c r="D57" s="37"/>
    </row>
    <row r="58" spans="1:5" ht="15" customHeight="1" x14ac:dyDescent="0.25">
      <c r="A58" s="364" t="s">
        <v>1064</v>
      </c>
      <c r="B58" s="364"/>
      <c r="C58" s="364"/>
      <c r="D58" s="364"/>
      <c r="E58" s="364"/>
    </row>
    <row r="59" spans="1:5" x14ac:dyDescent="0.25">
      <c r="A59" s="364"/>
      <c r="B59" s="364"/>
      <c r="C59" s="364"/>
      <c r="D59" s="364"/>
      <c r="E59" s="364"/>
    </row>
  </sheetData>
  <sheetProtection algorithmName="SHA-512" hashValue="+HGsO/9NxZWSfDsih+1I2nov+OEKyjf8RiWnad6SkeWg9oABnMqKMx+gWGf2968+8GY2RagQ+DjjKLoUWMc3Dg==" saltValue="A2AF58mZS6y7AFgwdAjoCg==" spinCount="100000" sheet="1" formatCells="0" formatColumns="0" formatRows="0" insertColumns="0" insertRows="0" insertHyperlinks="0" deleteColumns="0" deleteRows="0" sort="0" autoFilter="0" pivotTables="0"/>
  <mergeCells count="2">
    <mergeCell ref="A53:E54"/>
    <mergeCell ref="A58:E59"/>
  </mergeCells>
  <hyperlinks>
    <hyperlink ref="A2" location="Index!B39" display="[Back to Index]" xr:uid="{EC43DE74-3475-45DA-944B-93E7472EB4EA}"/>
  </hyperlink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A96DD-C6A8-46BC-B858-26157D409A9D}">
  <sheetPr codeName="Sheet22">
    <tabColor theme="8" tint="0.79998168889431442"/>
  </sheetPr>
  <dimension ref="A1:E7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2" width="27.5546875" style="38" customWidth="1"/>
    <col min="3" max="3" width="27.6640625" style="38" customWidth="1"/>
    <col min="4" max="4" width="95.6640625" style="37" customWidth="1"/>
    <col min="5" max="5" width="40.6640625" style="38" customWidth="1"/>
    <col min="6" max="16384" width="8.6640625" style="18"/>
  </cols>
  <sheetData>
    <row r="1" spans="1:5" s="5" customFormat="1" ht="17.399999999999999" x14ac:dyDescent="0.25">
      <c r="A1" s="112" t="s">
        <v>63</v>
      </c>
      <c r="B1" s="2" t="s">
        <v>234</v>
      </c>
      <c r="C1" s="84">
        <v>0</v>
      </c>
      <c r="D1" s="4" t="s">
        <v>1045</v>
      </c>
    </row>
    <row r="2" spans="1:5" s="5" customFormat="1" x14ac:dyDescent="0.25">
      <c r="A2" s="324" t="s">
        <v>74</v>
      </c>
      <c r="C2" s="84">
        <v>0</v>
      </c>
      <c r="D2" s="4" t="s">
        <v>1046</v>
      </c>
    </row>
    <row r="3" spans="1:5" x14ac:dyDescent="0.25">
      <c r="A3" s="154"/>
      <c r="B3" s="222"/>
      <c r="C3" s="142"/>
    </row>
    <row r="4" spans="1:5" s="10" customFormat="1" x14ac:dyDescent="0.3">
      <c r="A4" s="8" t="s">
        <v>75</v>
      </c>
      <c r="B4" s="9" t="s">
        <v>855</v>
      </c>
      <c r="C4" s="9" t="s">
        <v>77</v>
      </c>
      <c r="D4" s="9" t="s">
        <v>78</v>
      </c>
      <c r="E4" s="8" t="s">
        <v>79</v>
      </c>
    </row>
    <row r="5" spans="1:5" s="15" customFormat="1" ht="60" x14ac:dyDescent="0.25">
      <c r="A5" s="11" t="s">
        <v>80</v>
      </c>
      <c r="B5" s="16">
        <f>SUM(B6:B7)</f>
        <v>0</v>
      </c>
      <c r="C5" s="16">
        <f>SUM(C6:C7)</f>
        <v>0</v>
      </c>
      <c r="D5" s="13"/>
      <c r="E5" s="14"/>
    </row>
    <row r="6" spans="1:5" s="15" customFormat="1" ht="45" x14ac:dyDescent="0.25">
      <c r="A6" s="14" t="s">
        <v>81</v>
      </c>
      <c r="B6" s="16"/>
      <c r="C6" s="16"/>
      <c r="D6" s="13"/>
      <c r="E6" s="14"/>
    </row>
    <row r="7" spans="1:5" s="15" customFormat="1" ht="53.4" customHeight="1" x14ac:dyDescent="0.25">
      <c r="A7" s="14" t="s">
        <v>84</v>
      </c>
      <c r="B7" s="17"/>
      <c r="C7" s="17"/>
      <c r="D7" s="274" t="s">
        <v>856</v>
      </c>
      <c r="E7" s="260" t="s">
        <v>846</v>
      </c>
    </row>
    <row r="8" spans="1:5" ht="30" x14ac:dyDescent="0.25">
      <c r="A8" s="11" t="s">
        <v>87</v>
      </c>
      <c r="B8" s="16">
        <f>SUM(B9:B11)</f>
        <v>0</v>
      </c>
      <c r="C8" s="16">
        <f>SUM(C9:C11)</f>
        <v>0</v>
      </c>
      <c r="D8" s="13"/>
      <c r="E8" s="14"/>
    </row>
    <row r="9" spans="1:5" ht="60" x14ac:dyDescent="0.25">
      <c r="A9" s="14" t="s">
        <v>88</v>
      </c>
      <c r="B9" s="16"/>
      <c r="C9" s="16"/>
      <c r="D9" s="13"/>
      <c r="E9" s="14"/>
    </row>
    <row r="10" spans="1:5" ht="56.4" customHeight="1" x14ac:dyDescent="0.25">
      <c r="A10" s="14" t="s">
        <v>90</v>
      </c>
      <c r="B10" s="16"/>
      <c r="C10" s="16"/>
      <c r="D10" s="24" t="s">
        <v>857</v>
      </c>
      <c r="E10" s="260" t="s">
        <v>846</v>
      </c>
    </row>
    <row r="11" spans="1:5" x14ac:dyDescent="0.25">
      <c r="A11" s="14" t="s">
        <v>92</v>
      </c>
      <c r="B11" s="16"/>
      <c r="C11" s="16"/>
      <c r="D11" s="13"/>
      <c r="E11" s="14"/>
    </row>
    <row r="12" spans="1:5" ht="45" x14ac:dyDescent="0.25">
      <c r="A12" s="11" t="s">
        <v>93</v>
      </c>
      <c r="B12" s="16">
        <f>SUM(B13:B14)</f>
        <v>0</v>
      </c>
      <c r="C12" s="16">
        <f>SUM(C13:C14)</f>
        <v>0</v>
      </c>
      <c r="D12" s="13"/>
      <c r="E12" s="14"/>
    </row>
    <row r="13" spans="1:5" ht="45" x14ac:dyDescent="0.25">
      <c r="A13" s="14" t="s">
        <v>94</v>
      </c>
      <c r="B13" s="23"/>
      <c r="C13" s="23"/>
      <c r="D13" s="274"/>
      <c r="E13" s="14"/>
    </row>
    <row r="14" spans="1:5" ht="45" x14ac:dyDescent="0.25">
      <c r="A14" s="14" t="s">
        <v>96</v>
      </c>
      <c r="B14" s="16"/>
      <c r="C14" s="16"/>
      <c r="D14" s="13" t="s">
        <v>858</v>
      </c>
      <c r="E14" s="260" t="s">
        <v>846</v>
      </c>
    </row>
    <row r="15" spans="1:5" ht="45" x14ac:dyDescent="0.25">
      <c r="A15" s="11" t="s">
        <v>97</v>
      </c>
      <c r="B15" s="12">
        <v>0</v>
      </c>
      <c r="C15" s="12">
        <v>0</v>
      </c>
      <c r="D15" s="13"/>
      <c r="E15" s="14"/>
    </row>
    <row r="16" spans="1:5" ht="60" x14ac:dyDescent="0.25">
      <c r="A16" s="11" t="s">
        <v>98</v>
      </c>
      <c r="B16" s="12">
        <f>66.3*10^6</f>
        <v>66300000</v>
      </c>
      <c r="C16" s="12">
        <f>B16/B36</f>
        <v>24597299.997786243</v>
      </c>
      <c r="D16" s="13" t="s">
        <v>859</v>
      </c>
      <c r="E16" s="260" t="s">
        <v>846</v>
      </c>
    </row>
    <row r="17" spans="1:5" ht="50.4" customHeight="1" x14ac:dyDescent="0.25">
      <c r="A17" s="13" t="s">
        <v>99</v>
      </c>
      <c r="B17" s="85"/>
      <c r="C17" s="23"/>
      <c r="D17" s="274" t="s">
        <v>860</v>
      </c>
      <c r="E17" s="260" t="s">
        <v>846</v>
      </c>
    </row>
    <row r="18" spans="1:5" ht="171.6" customHeight="1" x14ac:dyDescent="0.25">
      <c r="A18" s="13" t="s">
        <v>101</v>
      </c>
      <c r="B18" s="23"/>
      <c r="C18" s="23"/>
      <c r="D18" s="275" t="s">
        <v>861</v>
      </c>
      <c r="E18" s="260" t="s">
        <v>846</v>
      </c>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16172506.74</v>
      </c>
      <c r="C26" s="12">
        <f>SUM(C27:C29)</f>
        <v>6000000</v>
      </c>
      <c r="D26" s="13"/>
      <c r="E26" s="14"/>
    </row>
    <row r="27" spans="1:5" x14ac:dyDescent="0.25">
      <c r="A27" s="13" t="s">
        <v>112</v>
      </c>
      <c r="B27" s="16"/>
      <c r="C27" s="16"/>
      <c r="D27" s="13"/>
      <c r="E27" s="14"/>
    </row>
    <row r="28" spans="1:5" x14ac:dyDescent="0.25">
      <c r="A28" s="13" t="s">
        <v>115</v>
      </c>
      <c r="B28" s="16"/>
      <c r="C28" s="16"/>
      <c r="D28" s="13"/>
      <c r="E28" s="13"/>
    </row>
    <row r="29" spans="1:5" x14ac:dyDescent="0.25">
      <c r="A29" s="13" t="s">
        <v>116</v>
      </c>
      <c r="B29" s="16">
        <f>C29*B36</f>
        <v>16172506.74</v>
      </c>
      <c r="C29" s="16">
        <f>SUM(C30:C31)</f>
        <v>6000000</v>
      </c>
      <c r="D29" s="13"/>
      <c r="E29" s="14"/>
    </row>
    <row r="30" spans="1:5" ht="45" x14ac:dyDescent="0.25">
      <c r="A30" s="13" t="s">
        <v>117</v>
      </c>
      <c r="B30" s="16">
        <f>C30*B36</f>
        <v>16172506.74</v>
      </c>
      <c r="C30" s="16">
        <f>(6)*10^6</f>
        <v>6000000</v>
      </c>
      <c r="D30" s="34" t="s">
        <v>862</v>
      </c>
      <c r="E30" s="24" t="s">
        <v>209</v>
      </c>
    </row>
    <row r="31" spans="1:5" x14ac:dyDescent="0.25">
      <c r="A31" s="13" t="s">
        <v>118</v>
      </c>
      <c r="B31" s="16"/>
      <c r="C31" s="16"/>
      <c r="D31" s="13"/>
      <c r="E31" s="14"/>
    </row>
    <row r="32" spans="1:5" ht="15" customHeight="1" x14ac:dyDescent="0.25">
      <c r="A32" s="11" t="s">
        <v>119</v>
      </c>
      <c r="B32" s="12">
        <v>0</v>
      </c>
      <c r="C32" s="12">
        <v>0</v>
      </c>
      <c r="D32" s="276"/>
      <c r="E32" s="14"/>
    </row>
    <row r="33" spans="1:5" x14ac:dyDescent="0.25">
      <c r="A33" s="31"/>
      <c r="B33" s="120"/>
      <c r="C33" s="120"/>
      <c r="D33" s="33"/>
      <c r="E33" s="34"/>
    </row>
    <row r="34" spans="1:5" x14ac:dyDescent="0.25">
      <c r="A34" s="35" t="s">
        <v>120</v>
      </c>
      <c r="B34" s="265">
        <f>(SUM(B5,B8,B12,B15,B16,B32))</f>
        <v>66300000</v>
      </c>
      <c r="C34" s="265">
        <f>(SUM(C5,C8,C12,C15,C16,C32))</f>
        <v>24597299.997786243</v>
      </c>
    </row>
    <row r="35" spans="1:5" x14ac:dyDescent="0.25">
      <c r="A35" s="31"/>
      <c r="B35" s="39"/>
      <c r="C35" s="40"/>
    </row>
    <row r="36" spans="1:5" x14ac:dyDescent="0.25">
      <c r="A36" s="31" t="s">
        <v>863</v>
      </c>
      <c r="B36" s="268">
        <v>2.69541779</v>
      </c>
      <c r="C36" s="42"/>
    </row>
    <row r="37" spans="1:5" x14ac:dyDescent="0.25">
      <c r="A37" s="43" t="s">
        <v>122</v>
      </c>
      <c r="B37" s="269">
        <v>2354000000</v>
      </c>
      <c r="C37" s="269">
        <v>905000000</v>
      </c>
    </row>
    <row r="38" spans="1:5" x14ac:dyDescent="0.25">
      <c r="A38" s="43" t="s">
        <v>123</v>
      </c>
      <c r="B38" s="269">
        <v>196130</v>
      </c>
      <c r="C38" s="152"/>
    </row>
    <row r="39" spans="1:5" x14ac:dyDescent="0.25">
      <c r="A39" s="43"/>
      <c r="B39" s="44"/>
      <c r="C39" s="44"/>
    </row>
    <row r="40" spans="1:5" x14ac:dyDescent="0.25">
      <c r="A40" s="5"/>
      <c r="B40" s="46" t="s">
        <v>864</v>
      </c>
      <c r="C40" s="47" t="s">
        <v>125</v>
      </c>
    </row>
    <row r="41" spans="1:5" x14ac:dyDescent="0.25">
      <c r="A41" s="43" t="s">
        <v>126</v>
      </c>
      <c r="B41" s="269">
        <f>$B37/$B38</f>
        <v>12002.243409983175</v>
      </c>
      <c r="C41" s="269">
        <f>$C37/$B38</f>
        <v>4614.2864426655788</v>
      </c>
    </row>
    <row r="42" spans="1:5" x14ac:dyDescent="0.25">
      <c r="A42" s="43" t="s">
        <v>127</v>
      </c>
      <c r="B42" s="268">
        <f>($B34/$B37)*100</f>
        <v>2.8164825828377227</v>
      </c>
      <c r="C42" s="96"/>
    </row>
    <row r="43" spans="1:5" x14ac:dyDescent="0.25">
      <c r="A43" s="43" t="s">
        <v>128</v>
      </c>
      <c r="B43" s="268">
        <f>B34/B38</f>
        <v>338.04109519196453</v>
      </c>
      <c r="C43" s="268">
        <f>C34/B38</f>
        <v>125.41324630493163</v>
      </c>
    </row>
    <row r="44" spans="1:5" x14ac:dyDescent="0.25">
      <c r="A44" s="43"/>
      <c r="B44" s="50"/>
      <c r="C44" s="269"/>
    </row>
    <row r="45" spans="1:5" x14ac:dyDescent="0.25">
      <c r="A45" s="335" t="s">
        <v>1057</v>
      </c>
      <c r="B45" s="50"/>
      <c r="C45" s="269"/>
    </row>
    <row r="46" spans="1:5" x14ac:dyDescent="0.25">
      <c r="A46" s="43"/>
      <c r="B46" s="51"/>
    </row>
    <row r="47" spans="1:5" x14ac:dyDescent="0.25">
      <c r="A47" s="43" t="s">
        <v>129</v>
      </c>
    </row>
    <row r="48" spans="1:5" ht="15.45" customHeight="1" x14ac:dyDescent="0.25">
      <c r="A48" s="277" t="s">
        <v>130</v>
      </c>
      <c r="B48" s="53"/>
      <c r="C48" s="53"/>
      <c r="D48" s="53"/>
      <c r="E48" s="53"/>
    </row>
    <row r="50" spans="1:5" x14ac:dyDescent="0.25">
      <c r="A50" s="43" t="s">
        <v>131</v>
      </c>
    </row>
    <row r="51" spans="1:5" s="38" customFormat="1" x14ac:dyDescent="0.25">
      <c r="A51" s="38" t="s">
        <v>865</v>
      </c>
      <c r="D51" s="37"/>
    </row>
    <row r="52" spans="1:5" s="38" customFormat="1" x14ac:dyDescent="0.25">
      <c r="A52" s="5" t="s">
        <v>866</v>
      </c>
      <c r="D52" s="37"/>
    </row>
    <row r="53" spans="1:5" s="38" customFormat="1" x14ac:dyDescent="0.25">
      <c r="A53" s="5" t="s">
        <v>867</v>
      </c>
      <c r="D53" s="37"/>
    </row>
    <row r="54" spans="1:5" x14ac:dyDescent="0.25">
      <c r="A54" s="38" t="s">
        <v>868</v>
      </c>
    </row>
    <row r="55" spans="1:5" s="38" customFormat="1" ht="15.6" customHeight="1" x14ac:dyDescent="0.25">
      <c r="A55" s="279" t="s">
        <v>869</v>
      </c>
      <c r="B55" s="280"/>
      <c r="C55" s="280"/>
      <c r="D55" s="280"/>
      <c r="E55" s="280"/>
    </row>
    <row r="56" spans="1:5" s="38" customFormat="1" x14ac:dyDescent="0.25">
      <c r="A56" s="281" t="s">
        <v>870</v>
      </c>
      <c r="D56" s="37"/>
    </row>
    <row r="59" spans="1:5" x14ac:dyDescent="0.25">
      <c r="A59" s="364" t="s">
        <v>1065</v>
      </c>
      <c r="B59" s="364"/>
      <c r="C59" s="364"/>
      <c r="D59" s="364"/>
      <c r="E59" s="364"/>
    </row>
    <row r="60" spans="1:5" x14ac:dyDescent="0.25">
      <c r="A60" s="364"/>
      <c r="B60" s="364"/>
      <c r="C60" s="364"/>
      <c r="D60" s="364"/>
      <c r="E60" s="364"/>
    </row>
    <row r="73" spans="1:1" x14ac:dyDescent="0.25">
      <c r="A73" s="5"/>
    </row>
  </sheetData>
  <sheetProtection algorithmName="SHA-512" hashValue="fJ3InqM+1FBC8sWu1RQcS/9yBG56+SZYdWmbRl5MeePwHFsw/cF/MsX+BjMPODolu+bEkVMYUnWNnUJQEsUTcw==" saltValue="7N2nEhWhztt383SwJ9ykqg==" spinCount="100000" sheet="1" formatCells="0" formatColumns="0" formatRows="0" insertColumns="0" insertRows="0" insertHyperlinks="0" deleteColumns="0" deleteRows="0" sort="0" autoFilter="0" pivotTables="0"/>
  <mergeCells count="1">
    <mergeCell ref="A59:E60"/>
  </mergeCells>
  <hyperlinks>
    <hyperlink ref="A2" location="Index!B44" display="[Back to Index]" xr:uid="{8CB0BF9C-CCD3-4C1B-81A2-A813C3125EE0}"/>
  </hyperlinks>
  <pageMargins left="0.7" right="0.7" top="0.75" bottom="0.75" header="0.3" footer="0.3"/>
  <pageSetup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60F3-CF3C-4677-A8CD-9CE9842A165F}">
  <sheetPr codeName="Sheet23">
    <tabColor theme="8" tint="0.79998168889431442"/>
  </sheetPr>
  <dimension ref="A1:G57"/>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88671875" defaultRowHeight="15" x14ac:dyDescent="0.25"/>
  <cols>
    <col min="1" max="1" width="48.88671875" style="38" customWidth="1"/>
    <col min="2" max="3" width="27.5546875" style="38" customWidth="1"/>
    <col min="4" max="4" width="95.5546875" style="37" customWidth="1"/>
    <col min="5" max="5" width="31.44140625" style="38" customWidth="1"/>
    <col min="6" max="16384" width="8.88671875" style="18"/>
  </cols>
  <sheetData>
    <row r="1" spans="1:7" s="5" customFormat="1" ht="17.399999999999999" x14ac:dyDescent="0.25">
      <c r="A1" s="112" t="s">
        <v>66</v>
      </c>
      <c r="B1" s="2" t="s">
        <v>234</v>
      </c>
      <c r="C1" s="84">
        <v>0</v>
      </c>
      <c r="D1" s="4" t="s">
        <v>1045</v>
      </c>
    </row>
    <row r="2" spans="1:7" s="5" customFormat="1" x14ac:dyDescent="0.25">
      <c r="A2" s="324" t="s">
        <v>74</v>
      </c>
      <c r="C2" s="84">
        <v>0</v>
      </c>
      <c r="D2" s="4" t="s">
        <v>1046</v>
      </c>
    </row>
    <row r="3" spans="1:7" x14ac:dyDescent="0.25">
      <c r="A3" s="154"/>
      <c r="B3" s="222"/>
      <c r="C3" s="142"/>
    </row>
    <row r="4" spans="1:7" s="10" customFormat="1" x14ac:dyDescent="0.3">
      <c r="A4" s="8" t="s">
        <v>75</v>
      </c>
      <c r="B4" s="9" t="s">
        <v>882</v>
      </c>
      <c r="C4" s="9" t="s">
        <v>77</v>
      </c>
      <c r="D4" s="9" t="s">
        <v>78</v>
      </c>
      <c r="E4" s="8" t="s">
        <v>79</v>
      </c>
    </row>
    <row r="5" spans="1:7" s="15" customFormat="1" ht="60" x14ac:dyDescent="0.25">
      <c r="A5" s="11" t="s">
        <v>80</v>
      </c>
      <c r="B5" s="16">
        <f>SUM(B6:B7)</f>
        <v>0</v>
      </c>
      <c r="C5" s="16">
        <f>SUM(C6:C7)</f>
        <v>0</v>
      </c>
      <c r="D5" s="274"/>
      <c r="E5" s="14"/>
    </row>
    <row r="6" spans="1:7" s="15" customFormat="1" ht="45" x14ac:dyDescent="0.25">
      <c r="A6" s="14" t="s">
        <v>81</v>
      </c>
      <c r="B6" s="16"/>
      <c r="C6" s="16"/>
      <c r="D6" s="13"/>
      <c r="E6" s="14"/>
    </row>
    <row r="7" spans="1:7" s="15" customFormat="1" ht="45" x14ac:dyDescent="0.25">
      <c r="A7" s="14" t="s">
        <v>84</v>
      </c>
      <c r="B7" s="17"/>
      <c r="C7" s="17"/>
      <c r="E7" s="13"/>
    </row>
    <row r="8" spans="1:7" ht="30" x14ac:dyDescent="0.25">
      <c r="A8" s="11" t="s">
        <v>87</v>
      </c>
      <c r="B8" s="16">
        <f>SUM(B9:B11)</f>
        <v>0</v>
      </c>
      <c r="C8" s="16">
        <f>SUM(C9:C11)</f>
        <v>0</v>
      </c>
      <c r="D8" s="13"/>
      <c r="E8" s="14"/>
    </row>
    <row r="9" spans="1:7" ht="60" x14ac:dyDescent="0.25">
      <c r="A9" s="14" t="s">
        <v>88</v>
      </c>
      <c r="B9" s="16"/>
      <c r="C9" s="16"/>
      <c r="E9" s="14"/>
    </row>
    <row r="10" spans="1:7" ht="60" x14ac:dyDescent="0.25">
      <c r="A10" s="14" t="s">
        <v>90</v>
      </c>
      <c r="B10" s="16"/>
      <c r="C10" s="16"/>
      <c r="D10" s="24" t="s">
        <v>883</v>
      </c>
      <c r="E10" s="260" t="s">
        <v>846</v>
      </c>
      <c r="F10" s="149"/>
      <c r="G10" s="149"/>
    </row>
    <row r="11" spans="1:7" x14ac:dyDescent="0.25">
      <c r="A11" s="14" t="s">
        <v>92</v>
      </c>
      <c r="B11" s="16"/>
      <c r="C11" s="16"/>
      <c r="D11" s="13"/>
      <c r="E11" s="14"/>
    </row>
    <row r="12" spans="1:7" ht="45" x14ac:dyDescent="0.25">
      <c r="A12" s="11" t="s">
        <v>93</v>
      </c>
      <c r="B12" s="16">
        <f>SUM(B13:B14)</f>
        <v>0</v>
      </c>
      <c r="C12" s="16">
        <f>SUM(C13:C14)</f>
        <v>0</v>
      </c>
      <c r="D12" s="13"/>
      <c r="E12" s="14"/>
    </row>
    <row r="13" spans="1:7" ht="45" x14ac:dyDescent="0.25">
      <c r="A13" s="14" t="s">
        <v>94</v>
      </c>
      <c r="B13" s="23"/>
      <c r="C13" s="23"/>
      <c r="D13" s="274"/>
      <c r="E13" s="14"/>
    </row>
    <row r="14" spans="1:7" x14ac:dyDescent="0.25">
      <c r="A14" s="14" t="s">
        <v>96</v>
      </c>
      <c r="B14" s="16"/>
      <c r="C14" s="16"/>
      <c r="D14" s="13"/>
      <c r="E14" s="14"/>
    </row>
    <row r="15" spans="1:7" ht="45" x14ac:dyDescent="0.25">
      <c r="A15" s="11" t="s">
        <v>97</v>
      </c>
      <c r="B15" s="12">
        <v>0</v>
      </c>
      <c r="C15" s="12">
        <v>0</v>
      </c>
      <c r="D15" s="13"/>
      <c r="E15" s="14"/>
    </row>
    <row r="16" spans="1:7" ht="30" x14ac:dyDescent="0.25">
      <c r="A16" s="11" t="s">
        <v>98</v>
      </c>
      <c r="B16" s="16">
        <f>SUM(B17:B18)</f>
        <v>0</v>
      </c>
      <c r="C16" s="16">
        <f>SUM(C17:C18)</f>
        <v>0</v>
      </c>
      <c r="D16" s="13"/>
      <c r="E16" s="14"/>
    </row>
    <row r="17" spans="1:5" x14ac:dyDescent="0.25">
      <c r="A17" s="13" t="s">
        <v>99</v>
      </c>
      <c r="B17" s="85"/>
      <c r="C17" s="23"/>
      <c r="D17" s="274"/>
      <c r="E17" s="14"/>
    </row>
    <row r="18" spans="1:5" ht="105" x14ac:dyDescent="0.25">
      <c r="A18" s="13" t="s">
        <v>101</v>
      </c>
      <c r="B18" s="23"/>
      <c r="C18" s="23"/>
      <c r="D18" s="275" t="s">
        <v>884</v>
      </c>
      <c r="E18" s="260" t="s">
        <v>846</v>
      </c>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668719.67065613531</v>
      </c>
      <c r="C26" s="12">
        <f>SUM(C27:C29)</f>
        <v>81519.890260631</v>
      </c>
      <c r="D26" s="13"/>
      <c r="E26" s="14"/>
    </row>
    <row r="27" spans="1:5" x14ac:dyDescent="0.25">
      <c r="A27" s="13" t="s">
        <v>112</v>
      </c>
      <c r="B27" s="16"/>
      <c r="C27" s="16"/>
      <c r="D27" s="13"/>
      <c r="E27" s="14"/>
    </row>
    <row r="28" spans="1:5" x14ac:dyDescent="0.25">
      <c r="A28" s="13" t="s">
        <v>115</v>
      </c>
      <c r="B28" s="16"/>
      <c r="C28" s="16"/>
      <c r="D28" s="13"/>
      <c r="E28" s="13"/>
    </row>
    <row r="29" spans="1:5" x14ac:dyDescent="0.25">
      <c r="A29" s="13" t="s">
        <v>116</v>
      </c>
      <c r="B29" s="16">
        <f>SUM(B30:B31)</f>
        <v>668719.67065613531</v>
      </c>
      <c r="C29" s="16">
        <f>SUM(C30:C31)</f>
        <v>81519.890260631</v>
      </c>
      <c r="D29" s="13"/>
      <c r="E29" s="14"/>
    </row>
    <row r="30" spans="1:5" x14ac:dyDescent="0.25">
      <c r="A30" s="13" t="s">
        <v>117</v>
      </c>
      <c r="B30" s="16"/>
      <c r="C30" s="16"/>
      <c r="D30" s="83"/>
      <c r="E30" s="24"/>
    </row>
    <row r="31" spans="1:5" ht="70.2" customHeight="1" x14ac:dyDescent="0.25">
      <c r="A31" s="13" t="s">
        <v>118</v>
      </c>
      <c r="B31" s="16">
        <f>+C31*B36</f>
        <v>668719.67065613531</v>
      </c>
      <c r="C31" s="16">
        <f>59428/0.729</f>
        <v>81519.890260631</v>
      </c>
      <c r="D31" s="13" t="s">
        <v>885</v>
      </c>
      <c r="E31" s="260" t="s">
        <v>846</v>
      </c>
    </row>
    <row r="32" spans="1:5" ht="60" x14ac:dyDescent="0.25">
      <c r="A32" s="11" t="s">
        <v>119</v>
      </c>
      <c r="B32" s="12">
        <f>C32*B36</f>
        <v>0</v>
      </c>
      <c r="C32" s="12">
        <v>0</v>
      </c>
      <c r="D32" s="13" t="s">
        <v>886</v>
      </c>
      <c r="E32" s="260" t="s">
        <v>846</v>
      </c>
    </row>
    <row r="33" spans="1:5" x14ac:dyDescent="0.25">
      <c r="A33" s="31"/>
      <c r="B33" s="120"/>
      <c r="C33" s="120"/>
      <c r="D33" s="33"/>
      <c r="E33" s="34"/>
    </row>
    <row r="34" spans="1:5" x14ac:dyDescent="0.25">
      <c r="A34" s="35" t="s">
        <v>120</v>
      </c>
      <c r="B34" s="265">
        <f>(SUM(B5,B8,B12,B15,B16,B32))</f>
        <v>0</v>
      </c>
      <c r="C34" s="265">
        <f>(SUM(C5,C8,C12,C15,C16,C32))</f>
        <v>0</v>
      </c>
    </row>
    <row r="35" spans="1:5" x14ac:dyDescent="0.25">
      <c r="A35" s="31"/>
      <c r="B35" s="39"/>
      <c r="C35" s="40"/>
    </row>
    <row r="36" spans="1:5" x14ac:dyDescent="0.25">
      <c r="A36" s="31" t="s">
        <v>887</v>
      </c>
      <c r="B36" s="268">
        <v>8.2031473364125098</v>
      </c>
      <c r="C36" s="42"/>
    </row>
    <row r="37" spans="1:5" x14ac:dyDescent="0.25">
      <c r="A37" s="43" t="s">
        <v>122</v>
      </c>
      <c r="B37" s="269">
        <v>11709000000</v>
      </c>
      <c r="C37" s="269">
        <v>1440000000</v>
      </c>
    </row>
    <row r="38" spans="1:5" x14ac:dyDescent="0.25">
      <c r="A38" s="43" t="s">
        <v>123</v>
      </c>
      <c r="B38" s="269">
        <v>652858</v>
      </c>
      <c r="C38" s="152"/>
    </row>
    <row r="39" spans="1:5" x14ac:dyDescent="0.25">
      <c r="A39" s="43"/>
      <c r="B39" s="44"/>
      <c r="C39" s="44"/>
    </row>
    <row r="40" spans="1:5" x14ac:dyDescent="0.25">
      <c r="A40" s="5"/>
      <c r="B40" s="46" t="s">
        <v>888</v>
      </c>
      <c r="C40" s="47" t="s">
        <v>125</v>
      </c>
    </row>
    <row r="41" spans="1:5" x14ac:dyDescent="0.25">
      <c r="A41" s="43" t="s">
        <v>126</v>
      </c>
      <c r="B41" s="269">
        <f>$B37/$B38</f>
        <v>17934.987393889634</v>
      </c>
      <c r="C41" s="269">
        <f>$C37/$B38</f>
        <v>2205.6863820310082</v>
      </c>
    </row>
    <row r="42" spans="1:5" x14ac:dyDescent="0.25">
      <c r="A42" s="43" t="s">
        <v>127</v>
      </c>
      <c r="B42" s="265">
        <f>($B34/$B37)*100</f>
        <v>0</v>
      </c>
      <c r="C42" s="96"/>
    </row>
    <row r="43" spans="1:5" x14ac:dyDescent="0.25">
      <c r="A43" s="43" t="s">
        <v>128</v>
      </c>
      <c r="B43" s="265">
        <f>B34/B38</f>
        <v>0</v>
      </c>
      <c r="C43" s="265">
        <f>C34/B38</f>
        <v>0</v>
      </c>
    </row>
    <row r="44" spans="1:5" x14ac:dyDescent="0.25">
      <c r="A44" s="43"/>
      <c r="B44" s="50"/>
      <c r="C44" s="50"/>
    </row>
    <row r="45" spans="1:5" x14ac:dyDescent="0.25">
      <c r="A45" s="335" t="s">
        <v>1057</v>
      </c>
      <c r="B45" s="50"/>
      <c r="C45" s="50"/>
    </row>
    <row r="46" spans="1:5" x14ac:dyDescent="0.25">
      <c r="A46" s="43"/>
      <c r="B46" s="51"/>
    </row>
    <row r="47" spans="1:5" x14ac:dyDescent="0.25">
      <c r="A47" s="43" t="s">
        <v>129</v>
      </c>
    </row>
    <row r="48" spans="1:5" ht="15.6" customHeight="1" x14ac:dyDescent="0.25">
      <c r="A48" s="277" t="s">
        <v>130</v>
      </c>
      <c r="B48" s="53"/>
      <c r="C48" s="53"/>
      <c r="D48" s="53"/>
      <c r="E48" s="53"/>
    </row>
    <row r="49" spans="1:5" ht="15.6" customHeight="1" x14ac:dyDescent="0.25">
      <c r="A49" s="53"/>
      <c r="B49" s="53"/>
      <c r="C49" s="53"/>
      <c r="D49" s="53"/>
      <c r="E49" s="53"/>
    </row>
    <row r="50" spans="1:5" x14ac:dyDescent="0.25">
      <c r="A50" s="43" t="s">
        <v>131</v>
      </c>
    </row>
    <row r="51" spans="1:5" s="38" customFormat="1" ht="15.6" customHeight="1" x14ac:dyDescent="0.3">
      <c r="A51" s="283" t="s">
        <v>889</v>
      </c>
      <c r="B51" s="283"/>
      <c r="C51" s="283"/>
      <c r="D51" s="283"/>
      <c r="E51" s="283"/>
    </row>
    <row r="52" spans="1:5" s="38" customFormat="1" x14ac:dyDescent="0.3">
      <c r="A52" s="283" t="s">
        <v>890</v>
      </c>
      <c r="B52" s="283"/>
      <c r="C52" s="283"/>
      <c r="D52" s="283"/>
      <c r="E52" s="283"/>
    </row>
    <row r="53" spans="1:5" s="38" customFormat="1" x14ac:dyDescent="0.25">
      <c r="A53" s="281" t="s">
        <v>891</v>
      </c>
      <c r="B53" s="34"/>
      <c r="C53" s="34"/>
      <c r="D53" s="34"/>
      <c r="E53" s="34"/>
    </row>
    <row r="54" spans="1:5" s="38" customFormat="1" x14ac:dyDescent="0.25">
      <c r="A54" s="5"/>
      <c r="D54" s="37"/>
    </row>
    <row r="56" spans="1:5" x14ac:dyDescent="0.25">
      <c r="A56" s="364" t="s">
        <v>1065</v>
      </c>
      <c r="B56" s="364"/>
      <c r="C56" s="364"/>
      <c r="D56" s="364"/>
      <c r="E56" s="364"/>
    </row>
    <row r="57" spans="1:5" x14ac:dyDescent="0.25">
      <c r="A57" s="364"/>
      <c r="B57" s="364"/>
      <c r="C57" s="364"/>
      <c r="D57" s="364"/>
      <c r="E57" s="364"/>
    </row>
  </sheetData>
  <sheetProtection algorithmName="SHA-512" hashValue="DDGsgtkJUNncwDecrnaWTLnw/MxcJwIHGv4krG4lc7p5XV8ofzn6/osmbDfaju3fHmPRPAT64nkidQy2pdzo5g==" saltValue="HGPfJ54S3X9cLa9I0hIRTA==" spinCount="100000" sheet="1" formatCells="0" formatColumns="0" formatRows="0" insertColumns="0" insertRows="0" insertHyperlinks="0" deleteColumns="0" deleteRows="0" sort="0" autoFilter="0" pivotTables="0"/>
  <mergeCells count="1">
    <mergeCell ref="A56:E57"/>
  </mergeCells>
  <hyperlinks>
    <hyperlink ref="A2" location="Index!B45" display="[Back to Index]" xr:uid="{292A8936-0720-45E3-8F87-6F241E41294F}"/>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EEDF-074D-45E8-86FD-F80406610CED}">
  <sheetPr codeName="Sheet24">
    <tabColor theme="8" tint="0.79998168889431442"/>
  </sheetPr>
  <dimension ref="A1:E62"/>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2" width="27.5546875" style="38" customWidth="1"/>
    <col min="3" max="3" width="27.6640625" style="38" customWidth="1"/>
    <col min="4" max="4" width="95.6640625" style="37" customWidth="1"/>
    <col min="5" max="5" width="40.6640625" style="38" customWidth="1"/>
    <col min="6" max="9" width="8.77734375" style="18" customWidth="1"/>
    <col min="10" max="16384" width="8.6640625" style="18"/>
  </cols>
  <sheetData>
    <row r="1" spans="1:5" s="5" customFormat="1" ht="17.399999999999999" x14ac:dyDescent="0.25">
      <c r="A1" s="112" t="s">
        <v>69</v>
      </c>
      <c r="B1" s="2" t="s">
        <v>234</v>
      </c>
      <c r="C1" s="84">
        <v>0</v>
      </c>
      <c r="D1" s="4" t="s">
        <v>1045</v>
      </c>
    </row>
    <row r="2" spans="1:5" s="5" customFormat="1" x14ac:dyDescent="0.25">
      <c r="A2" s="324" t="s">
        <v>74</v>
      </c>
      <c r="C2" s="84">
        <v>0</v>
      </c>
      <c r="D2" s="4" t="s">
        <v>1046</v>
      </c>
    </row>
    <row r="3" spans="1:5" x14ac:dyDescent="0.25">
      <c r="A3" s="154"/>
      <c r="B3" s="304"/>
      <c r="C3" s="142"/>
    </row>
    <row r="4" spans="1:5" s="10" customFormat="1" x14ac:dyDescent="0.3">
      <c r="A4" s="8" t="s">
        <v>75</v>
      </c>
      <c r="B4" s="115" t="s">
        <v>974</v>
      </c>
      <c r="C4" s="115" t="s">
        <v>77</v>
      </c>
      <c r="D4" s="9" t="s">
        <v>78</v>
      </c>
      <c r="E4" s="8" t="s">
        <v>79</v>
      </c>
    </row>
    <row r="5" spans="1:5" s="15" customFormat="1" ht="60" x14ac:dyDescent="0.25">
      <c r="A5" s="11" t="s">
        <v>80</v>
      </c>
      <c r="B5" s="16">
        <f>SUM(B6:B7)</f>
        <v>0</v>
      </c>
      <c r="C5" s="16">
        <f>SUM(C6:C7)</f>
        <v>0</v>
      </c>
      <c r="D5" s="275"/>
      <c r="E5" s="14"/>
    </row>
    <row r="6" spans="1:5" s="15" customFormat="1" ht="45" x14ac:dyDescent="0.25">
      <c r="A6" s="14" t="s">
        <v>81</v>
      </c>
      <c r="B6" s="16"/>
      <c r="C6" s="16"/>
      <c r="D6" s="295"/>
      <c r="E6" s="14"/>
    </row>
    <row r="7" spans="1:5" s="15" customFormat="1" ht="45" x14ac:dyDescent="0.25">
      <c r="A7" s="14" t="s">
        <v>84</v>
      </c>
      <c r="B7" s="17"/>
      <c r="C7" s="17"/>
      <c r="E7" s="13"/>
    </row>
    <row r="8" spans="1:5" ht="30" x14ac:dyDescent="0.25">
      <c r="A8" s="11" t="s">
        <v>87</v>
      </c>
      <c r="B8" s="16">
        <f>SUM(B9:B11)</f>
        <v>0</v>
      </c>
      <c r="C8" s="16">
        <f>SUM(C9:C11)</f>
        <v>0</v>
      </c>
      <c r="D8" s="13"/>
      <c r="E8" s="14"/>
    </row>
    <row r="9" spans="1:5" ht="60" x14ac:dyDescent="0.25">
      <c r="A9" s="14" t="s">
        <v>88</v>
      </c>
      <c r="B9" s="16"/>
      <c r="C9" s="16"/>
      <c r="D9" s="33"/>
      <c r="E9" s="14"/>
    </row>
    <row r="10" spans="1:5" ht="45" x14ac:dyDescent="0.25">
      <c r="A10" s="14" t="s">
        <v>90</v>
      </c>
      <c r="B10" s="16"/>
      <c r="C10" s="16"/>
      <c r="D10" s="24" t="s">
        <v>975</v>
      </c>
      <c r="E10" s="260" t="s">
        <v>846</v>
      </c>
    </row>
    <row r="11" spans="1:5" x14ac:dyDescent="0.25">
      <c r="A11" s="14" t="s">
        <v>92</v>
      </c>
      <c r="B11" s="16"/>
      <c r="C11" s="16"/>
      <c r="D11" s="13"/>
      <c r="E11" s="14"/>
    </row>
    <row r="12" spans="1:5" ht="45" x14ac:dyDescent="0.25">
      <c r="A12" s="11" t="s">
        <v>93</v>
      </c>
      <c r="B12" s="16">
        <f>SUM(B13:B14)</f>
        <v>0</v>
      </c>
      <c r="C12" s="16">
        <f>SUM(C13:C14)</f>
        <v>0</v>
      </c>
      <c r="D12" s="13"/>
      <c r="E12" s="14"/>
    </row>
    <row r="13" spans="1:5" ht="45" x14ac:dyDescent="0.25">
      <c r="A13" s="14" t="s">
        <v>94</v>
      </c>
      <c r="B13" s="23"/>
      <c r="C13" s="23"/>
      <c r="D13" s="274"/>
      <c r="E13" s="14"/>
    </row>
    <row r="14" spans="1:5" ht="139.19999999999999" customHeight="1" x14ac:dyDescent="0.25">
      <c r="A14" s="14" t="s">
        <v>96</v>
      </c>
      <c r="B14" s="16"/>
      <c r="C14" s="16"/>
      <c r="D14" s="13" t="s">
        <v>976</v>
      </c>
      <c r="E14" s="260" t="s">
        <v>846</v>
      </c>
    </row>
    <row r="15" spans="1:5" ht="45" x14ac:dyDescent="0.25">
      <c r="A15" s="11" t="s">
        <v>97</v>
      </c>
      <c r="B15" s="12">
        <v>0</v>
      </c>
      <c r="C15" s="12">
        <v>0</v>
      </c>
      <c r="D15" s="13"/>
      <c r="E15" s="14"/>
    </row>
    <row r="16" spans="1:5" ht="30" x14ac:dyDescent="0.25">
      <c r="A16" s="11" t="s">
        <v>98</v>
      </c>
      <c r="B16" s="12">
        <f>SUM(B17:B18)</f>
        <v>60000000</v>
      </c>
      <c r="C16" s="12">
        <f>SUM(C17:C18)</f>
        <v>26119636.363636419</v>
      </c>
      <c r="D16" s="13"/>
      <c r="E16" s="14"/>
    </row>
    <row r="17" spans="1:5" ht="101.4" customHeight="1" x14ac:dyDescent="0.25">
      <c r="A17" s="13" t="s">
        <v>99</v>
      </c>
      <c r="B17" s="16">
        <f>0.02*10^9</f>
        <v>20000000</v>
      </c>
      <c r="C17" s="16">
        <f>+B17/$B$36</f>
        <v>8706545.4545454737</v>
      </c>
      <c r="D17" s="305" t="s">
        <v>977</v>
      </c>
      <c r="E17" s="260" t="s">
        <v>846</v>
      </c>
    </row>
    <row r="18" spans="1:5" ht="73.2" customHeight="1" x14ac:dyDescent="0.25">
      <c r="A18" s="13" t="s">
        <v>101</v>
      </c>
      <c r="B18" s="16">
        <f>0.04*10^9</f>
        <v>40000000</v>
      </c>
      <c r="C18" s="16">
        <f>+B18/$B$36</f>
        <v>17413090.909090947</v>
      </c>
      <c r="D18" s="302" t="s">
        <v>978</v>
      </c>
      <c r="E18" s="260" t="s">
        <v>846</v>
      </c>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14862381.489370555</v>
      </c>
      <c r="C26" s="12">
        <f>SUM(C27:C29)</f>
        <v>6470000</v>
      </c>
      <c r="D26" s="13"/>
      <c r="E26" s="14"/>
    </row>
    <row r="27" spans="1:5" x14ac:dyDescent="0.25">
      <c r="A27" s="13" t="s">
        <v>112</v>
      </c>
      <c r="B27" s="16"/>
      <c r="C27" s="16"/>
      <c r="D27" s="13"/>
      <c r="E27" s="14"/>
    </row>
    <row r="28" spans="1:5" ht="75" x14ac:dyDescent="0.25">
      <c r="A28" s="13" t="s">
        <v>115</v>
      </c>
      <c r="B28" s="16"/>
      <c r="C28" s="16"/>
      <c r="D28" s="274" t="s">
        <v>979</v>
      </c>
      <c r="E28" s="260" t="s">
        <v>846</v>
      </c>
    </row>
    <row r="29" spans="1:5" x14ac:dyDescent="0.25">
      <c r="A29" s="13" t="s">
        <v>116</v>
      </c>
      <c r="B29" s="16">
        <f>SUM(B30:B31)</f>
        <v>14862381.489370555</v>
      </c>
      <c r="C29" s="16">
        <f>SUM(C30:C31)</f>
        <v>6470000</v>
      </c>
      <c r="D29" s="13"/>
      <c r="E29" s="14"/>
    </row>
    <row r="30" spans="1:5" ht="30" x14ac:dyDescent="0.25">
      <c r="A30" s="13" t="s">
        <v>117</v>
      </c>
      <c r="B30" s="16">
        <f>C30*B36</f>
        <v>14862381.489370555</v>
      </c>
      <c r="C30" s="16">
        <f>(0.47+6)*10^6</f>
        <v>6470000</v>
      </c>
      <c r="D30" s="126" t="s">
        <v>980</v>
      </c>
      <c r="E30" s="24" t="s">
        <v>209</v>
      </c>
    </row>
    <row r="31" spans="1:5" x14ac:dyDescent="0.25">
      <c r="A31" s="13" t="s">
        <v>118</v>
      </c>
      <c r="B31" s="16"/>
      <c r="C31" s="16"/>
      <c r="D31" s="13"/>
      <c r="E31" s="14"/>
    </row>
    <row r="32" spans="1:5" x14ac:dyDescent="0.25">
      <c r="A32" s="11" t="s">
        <v>119</v>
      </c>
      <c r="B32" s="12">
        <f>C32*B36</f>
        <v>0</v>
      </c>
      <c r="C32" s="12">
        <v>0</v>
      </c>
      <c r="D32" s="13"/>
      <c r="E32" s="14"/>
    </row>
    <row r="33" spans="1:5" x14ac:dyDescent="0.25">
      <c r="A33" s="31"/>
      <c r="B33" s="120"/>
      <c r="C33" s="120"/>
      <c r="D33" s="33"/>
      <c r="E33" s="34"/>
    </row>
    <row r="34" spans="1:5" x14ac:dyDescent="0.25">
      <c r="A34" s="35" t="s">
        <v>120</v>
      </c>
      <c r="B34" s="265">
        <f>(SUM(B5,B8,B12,B15,B16,B32))</f>
        <v>60000000</v>
      </c>
      <c r="C34" s="265">
        <f>(SUM(C5,C8,C12,C15,C16,C32))</f>
        <v>26119636.363636419</v>
      </c>
    </row>
    <row r="35" spans="1:5" x14ac:dyDescent="0.25">
      <c r="A35" s="31"/>
      <c r="B35" s="39"/>
      <c r="C35" s="40"/>
    </row>
    <row r="36" spans="1:5" x14ac:dyDescent="0.25">
      <c r="A36" s="31" t="s">
        <v>121</v>
      </c>
      <c r="B36" s="268">
        <v>2.29712233220565</v>
      </c>
      <c r="C36" s="42"/>
    </row>
    <row r="37" spans="1:5" x14ac:dyDescent="0.25">
      <c r="A37" s="43" t="s">
        <v>122</v>
      </c>
      <c r="B37" s="269">
        <v>1117000000</v>
      </c>
      <c r="C37" s="269">
        <v>488000000</v>
      </c>
    </row>
    <row r="38" spans="1:5" x14ac:dyDescent="0.25">
      <c r="A38" s="43" t="s">
        <v>123</v>
      </c>
      <c r="B38" s="269">
        <v>103197</v>
      </c>
      <c r="C38" s="152"/>
    </row>
    <row r="39" spans="1:5" x14ac:dyDescent="0.25">
      <c r="A39" s="43"/>
      <c r="B39" s="44"/>
      <c r="C39" s="44"/>
    </row>
    <row r="40" spans="1:5" x14ac:dyDescent="0.25">
      <c r="A40" s="5"/>
      <c r="B40" s="191" t="s">
        <v>981</v>
      </c>
      <c r="C40" s="306" t="s">
        <v>125</v>
      </c>
    </row>
    <row r="41" spans="1:5" x14ac:dyDescent="0.25">
      <c r="A41" s="43" t="s">
        <v>126</v>
      </c>
      <c r="B41" s="269">
        <f>$B37/$B38</f>
        <v>10823.958060796342</v>
      </c>
      <c r="C41" s="269">
        <f>$C37/$B38</f>
        <v>4728.8196362297358</v>
      </c>
    </row>
    <row r="42" spans="1:5" x14ac:dyDescent="0.25">
      <c r="A42" s="43" t="s">
        <v>127</v>
      </c>
      <c r="B42" s="268">
        <f>($B34/$B37)*100</f>
        <v>5.3715308863025957</v>
      </c>
      <c r="C42" s="96"/>
    </row>
    <row r="43" spans="1:5" x14ac:dyDescent="0.25">
      <c r="A43" s="43" t="s">
        <v>128</v>
      </c>
      <c r="B43" s="268">
        <f>B34/B38</f>
        <v>581.41225035611501</v>
      </c>
      <c r="C43" s="268">
        <f>C34/B38</f>
        <v>253.10460927775438</v>
      </c>
    </row>
    <row r="44" spans="1:5" x14ac:dyDescent="0.25">
      <c r="A44" s="43"/>
      <c r="B44" s="50"/>
      <c r="C44" s="50"/>
    </row>
    <row r="45" spans="1:5" x14ac:dyDescent="0.25">
      <c r="A45" s="335" t="s">
        <v>1057</v>
      </c>
      <c r="B45" s="50"/>
      <c r="C45" s="50"/>
    </row>
    <row r="46" spans="1:5" x14ac:dyDescent="0.25">
      <c r="A46" s="43"/>
      <c r="B46" s="51"/>
    </row>
    <row r="47" spans="1:5" x14ac:dyDescent="0.25">
      <c r="A47" s="43" t="s">
        <v>129</v>
      </c>
    </row>
    <row r="48" spans="1:5" ht="15.6" customHeight="1" x14ac:dyDescent="0.25">
      <c r="A48" s="370" t="s">
        <v>982</v>
      </c>
      <c r="B48" s="370"/>
      <c r="C48" s="370"/>
      <c r="D48" s="370"/>
      <c r="E48" s="370"/>
    </row>
    <row r="49" spans="1:5" x14ac:dyDescent="0.25">
      <c r="A49" s="370"/>
      <c r="B49" s="370"/>
      <c r="C49" s="370"/>
      <c r="D49" s="370"/>
      <c r="E49" s="370"/>
    </row>
    <row r="50" spans="1:5" x14ac:dyDescent="0.25">
      <c r="A50" s="370"/>
      <c r="B50" s="370"/>
      <c r="C50" s="370"/>
      <c r="D50" s="370"/>
      <c r="E50" s="370"/>
    </row>
    <row r="51" spans="1:5" x14ac:dyDescent="0.25">
      <c r="A51" s="281" t="s">
        <v>870</v>
      </c>
    </row>
    <row r="52" spans="1:5" x14ac:dyDescent="0.25">
      <c r="A52" s="281"/>
    </row>
    <row r="53" spans="1:5" x14ac:dyDescent="0.25">
      <c r="A53" s="43" t="s">
        <v>131</v>
      </c>
    </row>
    <row r="54" spans="1:5" x14ac:dyDescent="0.25">
      <c r="A54" s="283" t="s">
        <v>983</v>
      </c>
      <c r="B54" s="283"/>
      <c r="C54" s="283"/>
      <c r="D54" s="283"/>
      <c r="E54" s="283"/>
    </row>
    <row r="55" spans="1:5" x14ac:dyDescent="0.25">
      <c r="A55" s="283" t="s">
        <v>984</v>
      </c>
      <c r="B55" s="283"/>
      <c r="C55" s="283"/>
      <c r="D55" s="283"/>
      <c r="E55" s="283"/>
    </row>
    <row r="56" spans="1:5" s="38" customFormat="1" x14ac:dyDescent="0.3">
      <c r="A56" s="371" t="s">
        <v>985</v>
      </c>
      <c r="B56" s="371"/>
      <c r="C56" s="371"/>
      <c r="D56" s="371"/>
      <c r="E56" s="371"/>
    </row>
    <row r="57" spans="1:5" s="38" customFormat="1" x14ac:dyDescent="0.3">
      <c r="A57" s="371"/>
      <c r="B57" s="371"/>
      <c r="C57" s="371"/>
      <c r="D57" s="371"/>
      <c r="E57" s="371"/>
    </row>
    <row r="58" spans="1:5" s="38" customFormat="1" x14ac:dyDescent="0.25">
      <c r="A58" s="281" t="s">
        <v>870</v>
      </c>
      <c r="D58" s="37"/>
    </row>
    <row r="59" spans="1:5" s="38" customFormat="1" x14ac:dyDescent="0.25">
      <c r="A59" s="5"/>
      <c r="D59" s="37"/>
    </row>
    <row r="60" spans="1:5" s="38" customFormat="1" x14ac:dyDescent="0.25">
      <c r="A60" s="5"/>
      <c r="D60" s="37"/>
    </row>
    <row r="61" spans="1:5" x14ac:dyDescent="0.25">
      <c r="A61" s="364" t="s">
        <v>1065</v>
      </c>
      <c r="B61" s="364"/>
      <c r="C61" s="364"/>
      <c r="D61" s="364"/>
      <c r="E61" s="364"/>
    </row>
    <row r="62" spans="1:5" x14ac:dyDescent="0.25">
      <c r="A62" s="364"/>
      <c r="B62" s="364"/>
      <c r="C62" s="364"/>
      <c r="D62" s="364"/>
      <c r="E62" s="364"/>
    </row>
  </sheetData>
  <sheetProtection algorithmName="SHA-512" hashValue="6vQAZtLhUE+zm20re2UKVX58JMgHdbN6GCCvbQpAdBmePVJXGntr9BlLY2OvYh4W+YfhsSIZFZmfWVh2Y1VXvg==" saltValue="NU8BBFQ2/B5DoGXntJlAIw==" spinCount="100000" sheet="1" formatCells="0" formatColumns="0" formatRows="0" insertColumns="0" insertRows="0" insertHyperlinks="0" deleteColumns="0" deleteRows="0" sort="0" autoFilter="0" pivotTables="0"/>
  <mergeCells count="3">
    <mergeCell ref="A48:E50"/>
    <mergeCell ref="A56:E57"/>
    <mergeCell ref="A61:E62"/>
  </mergeCells>
  <hyperlinks>
    <hyperlink ref="A2" location="Index!B46" display="[Back to Index]" xr:uid="{4B5F8811-01C4-40D0-A43E-A6FD9C2FDF2C}"/>
  </hyperlinks>
  <pageMargins left="0.7" right="0.7" top="0.75" bottom="0.75" header="0.3" footer="0.3"/>
  <pageSetup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DE95C-7B61-4ECF-A8D6-6C233D9F7998}">
  <sheetPr codeName="Sheet25">
    <tabColor theme="8" tint="0.79998168889431442"/>
  </sheetPr>
  <dimension ref="A1:E57"/>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71</v>
      </c>
      <c r="B1" s="2" t="s">
        <v>234</v>
      </c>
      <c r="C1" s="84">
        <v>0</v>
      </c>
      <c r="D1" s="4" t="s">
        <v>1045</v>
      </c>
    </row>
    <row r="2" spans="1:5" s="5" customFormat="1" x14ac:dyDescent="0.25">
      <c r="A2" s="324" t="s">
        <v>74</v>
      </c>
      <c r="C2" s="84">
        <v>0</v>
      </c>
      <c r="D2" s="4" t="s">
        <v>1046</v>
      </c>
    </row>
    <row r="3" spans="1:5" s="5" customFormat="1" x14ac:dyDescent="0.25">
      <c r="A3" s="6"/>
      <c r="D3" s="7"/>
    </row>
    <row r="4" spans="1:5" s="10" customFormat="1" x14ac:dyDescent="0.3">
      <c r="A4" s="8" t="s">
        <v>75</v>
      </c>
      <c r="B4" s="9" t="s">
        <v>137</v>
      </c>
      <c r="C4" s="9" t="s">
        <v>77</v>
      </c>
      <c r="D4" s="9" t="s">
        <v>78</v>
      </c>
      <c r="E4" s="8" t="s">
        <v>79</v>
      </c>
    </row>
    <row r="5" spans="1:5" s="15" customFormat="1" ht="60" x14ac:dyDescent="0.25">
      <c r="A5" s="11" t="s">
        <v>80</v>
      </c>
      <c r="B5" s="87">
        <f>SUM(B6:B7)</f>
        <v>0</v>
      </c>
      <c r="C5" s="87">
        <f>SUM(C6:C7)</f>
        <v>0</v>
      </c>
      <c r="D5" s="24"/>
      <c r="E5" s="83"/>
    </row>
    <row r="6" spans="1:5" s="15" customFormat="1" ht="45" x14ac:dyDescent="0.25">
      <c r="A6" s="14" t="s">
        <v>81</v>
      </c>
      <c r="B6" s="97"/>
      <c r="C6" s="97"/>
      <c r="D6" s="24"/>
      <c r="E6" s="83"/>
    </row>
    <row r="7" spans="1:5" s="15" customFormat="1" ht="45" x14ac:dyDescent="0.25">
      <c r="A7" s="14" t="s">
        <v>84</v>
      </c>
      <c r="B7" s="17"/>
      <c r="C7" s="17"/>
      <c r="D7" s="24"/>
      <c r="E7" s="83"/>
    </row>
    <row r="8" spans="1:5" ht="30" x14ac:dyDescent="0.25">
      <c r="A8" s="11" t="s">
        <v>87</v>
      </c>
      <c r="B8" s="12">
        <f>SUM(B9:B11)</f>
        <v>0</v>
      </c>
      <c r="C8" s="12">
        <f>SUM(C9:C11)</f>
        <v>0</v>
      </c>
      <c r="D8" s="24"/>
      <c r="E8" s="83"/>
    </row>
    <row r="9" spans="1:5" ht="60" x14ac:dyDescent="0.25">
      <c r="A9" s="14" t="s">
        <v>88</v>
      </c>
      <c r="B9" s="16"/>
      <c r="C9" s="16"/>
      <c r="D9" s="24"/>
      <c r="E9" s="83"/>
    </row>
    <row r="10" spans="1:5" ht="45" x14ac:dyDescent="0.25">
      <c r="A10" s="14" t="s">
        <v>90</v>
      </c>
      <c r="B10" s="16"/>
      <c r="C10" s="16"/>
      <c r="D10" s="24"/>
      <c r="E10" s="83"/>
    </row>
    <row r="11" spans="1:5" x14ac:dyDescent="0.25">
      <c r="A11" s="14" t="s">
        <v>92</v>
      </c>
      <c r="B11" s="19"/>
      <c r="C11" s="19"/>
      <c r="D11" s="24"/>
      <c r="E11" s="83"/>
    </row>
    <row r="12" spans="1:5" ht="45" x14ac:dyDescent="0.25">
      <c r="A12" s="11" t="s">
        <v>93</v>
      </c>
      <c r="B12" s="12">
        <f>SUM(B13:B14)</f>
        <v>0</v>
      </c>
      <c r="C12" s="12">
        <f>SUM(C13:C14)</f>
        <v>0</v>
      </c>
      <c r="D12" s="24"/>
      <c r="E12" s="83"/>
    </row>
    <row r="13" spans="1:5" ht="45" x14ac:dyDescent="0.25">
      <c r="A13" s="14" t="s">
        <v>94</v>
      </c>
      <c r="B13" s="23"/>
      <c r="C13" s="23"/>
      <c r="D13" s="24"/>
      <c r="E13" s="83"/>
    </row>
    <row r="14" spans="1:5" x14ac:dyDescent="0.25">
      <c r="A14" s="14" t="s">
        <v>96</v>
      </c>
      <c r="B14" s="16"/>
      <c r="C14" s="16"/>
      <c r="D14" s="24"/>
      <c r="E14" s="83"/>
    </row>
    <row r="15" spans="1:5" ht="45" x14ac:dyDescent="0.25">
      <c r="A15" s="11" t="s">
        <v>97</v>
      </c>
      <c r="B15" s="12"/>
      <c r="C15" s="12"/>
      <c r="D15" s="24"/>
      <c r="E15" s="83"/>
    </row>
    <row r="16" spans="1:5" ht="30" x14ac:dyDescent="0.25">
      <c r="A16" s="11" t="s">
        <v>98</v>
      </c>
      <c r="B16" s="12">
        <f>SUM(B17:B18)</f>
        <v>5800000</v>
      </c>
      <c r="C16" s="12">
        <f>SUM(C17:C18)</f>
        <v>3870659.0000000088</v>
      </c>
      <c r="D16" s="24"/>
      <c r="E16" s="83"/>
    </row>
    <row r="17" spans="1:5" ht="60" x14ac:dyDescent="0.25">
      <c r="A17" s="13" t="s">
        <v>99</v>
      </c>
      <c r="B17" s="107">
        <f>(5.6)*10^6</f>
        <v>5600000</v>
      </c>
      <c r="C17" s="107">
        <f>B17/$B$36</f>
        <v>3737188.0000000084</v>
      </c>
      <c r="D17" s="83" t="s">
        <v>235</v>
      </c>
      <c r="E17" s="24" t="s">
        <v>223</v>
      </c>
    </row>
    <row r="18" spans="1:5" ht="60" x14ac:dyDescent="0.25">
      <c r="A18" s="13" t="s">
        <v>101</v>
      </c>
      <c r="B18" s="107">
        <v>200000</v>
      </c>
      <c r="C18" s="107">
        <f>B18/$B$36</f>
        <v>133471.00000000029</v>
      </c>
      <c r="D18" s="58" t="s">
        <v>236</v>
      </c>
      <c r="E18" s="24" t="s">
        <v>223</v>
      </c>
    </row>
    <row r="19" spans="1:5" ht="30" x14ac:dyDescent="0.25">
      <c r="A19" s="11" t="s">
        <v>103</v>
      </c>
      <c r="B19" s="12"/>
      <c r="C19" s="12"/>
      <c r="D19" s="24"/>
      <c r="E19" s="24"/>
    </row>
    <row r="20" spans="1:5" x14ac:dyDescent="0.25">
      <c r="A20" s="14" t="s">
        <v>104</v>
      </c>
      <c r="B20" s="16"/>
      <c r="C20" s="16"/>
      <c r="D20" s="24"/>
      <c r="E20" s="108"/>
    </row>
    <row r="21" spans="1:5" ht="30" x14ac:dyDescent="0.25">
      <c r="A21" s="22" t="s">
        <v>105</v>
      </c>
      <c r="B21" s="12">
        <f>SUM(B22,B24)</f>
        <v>0</v>
      </c>
      <c r="C21" s="12">
        <f>SUM(C22,C24)</f>
        <v>0</v>
      </c>
      <c r="D21" s="24"/>
      <c r="E21" s="83"/>
    </row>
    <row r="22" spans="1:5" x14ac:dyDescent="0.25">
      <c r="A22" s="22" t="s">
        <v>108</v>
      </c>
      <c r="B22" s="16"/>
      <c r="C22" s="16"/>
      <c r="D22" s="24"/>
      <c r="E22" s="83"/>
    </row>
    <row r="23" spans="1:5" x14ac:dyDescent="0.25">
      <c r="A23" s="13" t="s">
        <v>109</v>
      </c>
      <c r="B23" s="16"/>
      <c r="C23" s="16"/>
      <c r="D23" s="24"/>
      <c r="E23" s="83"/>
    </row>
    <row r="24" spans="1:5" x14ac:dyDescent="0.25">
      <c r="A24" s="22" t="s">
        <v>110</v>
      </c>
      <c r="B24" s="23"/>
      <c r="C24" s="23"/>
      <c r="D24" s="24"/>
      <c r="E24" s="83"/>
    </row>
    <row r="25" spans="1:5" x14ac:dyDescent="0.25">
      <c r="A25" s="13" t="s">
        <v>109</v>
      </c>
      <c r="B25" s="16"/>
      <c r="C25" s="23"/>
      <c r="D25" s="24"/>
      <c r="E25" s="83"/>
    </row>
    <row r="26" spans="1:5" x14ac:dyDescent="0.25">
      <c r="A26" s="22" t="s">
        <v>111</v>
      </c>
      <c r="B26" s="12">
        <f>SUM(B27:B29)</f>
        <v>0</v>
      </c>
      <c r="C26" s="12">
        <f>SUM(C27:C29)</f>
        <v>0</v>
      </c>
      <c r="D26" s="24"/>
      <c r="E26" s="83"/>
    </row>
    <row r="27" spans="1:5" x14ac:dyDescent="0.25">
      <c r="A27" s="13" t="s">
        <v>112</v>
      </c>
      <c r="B27" s="16"/>
      <c r="C27" s="16"/>
      <c r="D27" s="24"/>
      <c r="E27" s="83"/>
    </row>
    <row r="28" spans="1:5" x14ac:dyDescent="0.25">
      <c r="A28" s="13" t="s">
        <v>115</v>
      </c>
      <c r="B28" s="16"/>
      <c r="C28" s="16"/>
      <c r="D28" s="24"/>
      <c r="E28" s="83"/>
    </row>
    <row r="29" spans="1:5" x14ac:dyDescent="0.25">
      <c r="A29" s="13" t="s">
        <v>116</v>
      </c>
      <c r="B29" s="19">
        <f>SUM(B30:B31)</f>
        <v>0</v>
      </c>
      <c r="C29" s="19">
        <f>SUM(C30:C31)</f>
        <v>0</v>
      </c>
      <c r="D29" s="24"/>
      <c r="E29" s="83"/>
    </row>
    <row r="30" spans="1:5" x14ac:dyDescent="0.25">
      <c r="A30" s="13" t="s">
        <v>117</v>
      </c>
      <c r="B30" s="19"/>
      <c r="C30" s="19"/>
      <c r="D30" s="83"/>
      <c r="E30" s="24"/>
    </row>
    <row r="31" spans="1:5" x14ac:dyDescent="0.25">
      <c r="A31" s="13" t="s">
        <v>118</v>
      </c>
      <c r="B31" s="19"/>
      <c r="C31" s="19"/>
      <c r="D31" s="24"/>
      <c r="E31" s="83"/>
    </row>
    <row r="32" spans="1:5" x14ac:dyDescent="0.25">
      <c r="A32" s="11" t="s">
        <v>119</v>
      </c>
      <c r="B32" s="30"/>
      <c r="C32" s="12"/>
      <c r="D32" s="24"/>
      <c r="E32" s="83"/>
    </row>
    <row r="33" spans="1:5" x14ac:dyDescent="0.25">
      <c r="A33" s="31"/>
      <c r="B33" s="32"/>
      <c r="C33" s="32"/>
      <c r="D33" s="33"/>
      <c r="E33" s="34"/>
    </row>
    <row r="34" spans="1:5" x14ac:dyDescent="0.25">
      <c r="A34" s="35" t="s">
        <v>120</v>
      </c>
      <c r="B34" s="109">
        <f>SUM(B5,B8,B12,B15,B16)</f>
        <v>5800000</v>
      </c>
      <c r="C34" s="109">
        <f>SUM(C5,C8,C12,C15,C16)</f>
        <v>3870659.0000000088</v>
      </c>
    </row>
    <row r="35" spans="1:5" x14ac:dyDescent="0.25">
      <c r="A35" s="35"/>
      <c r="B35" s="39"/>
      <c r="C35" s="40"/>
    </row>
    <row r="36" spans="1:5" x14ac:dyDescent="0.25">
      <c r="A36" s="35" t="s">
        <v>155</v>
      </c>
      <c r="B36" s="41">
        <v>1.4984528474350201</v>
      </c>
      <c r="C36" s="42"/>
    </row>
    <row r="37" spans="1:5" x14ac:dyDescent="0.25">
      <c r="A37" s="43" t="s">
        <v>122</v>
      </c>
      <c r="B37" s="45">
        <v>59000000</v>
      </c>
      <c r="C37" s="45">
        <v>42000000</v>
      </c>
    </row>
    <row r="38" spans="1:5" x14ac:dyDescent="0.25">
      <c r="A38" s="43" t="s">
        <v>123</v>
      </c>
      <c r="B38" s="45">
        <v>11508</v>
      </c>
      <c r="C38" s="45"/>
    </row>
    <row r="39" spans="1:5" x14ac:dyDescent="0.25">
      <c r="A39" s="43"/>
      <c r="B39" s="44"/>
      <c r="C39" s="44"/>
    </row>
    <row r="40" spans="1:5" x14ac:dyDescent="0.25">
      <c r="A40" s="5"/>
      <c r="B40" s="46" t="s">
        <v>156</v>
      </c>
      <c r="C40" s="47" t="s">
        <v>125</v>
      </c>
    </row>
    <row r="41" spans="1:5" x14ac:dyDescent="0.25">
      <c r="A41" s="43" t="s">
        <v>126</v>
      </c>
      <c r="B41" s="48">
        <f>$B37/$B$38</f>
        <v>5126.8682655543971</v>
      </c>
      <c r="C41" s="48">
        <f>$C37/$B$38</f>
        <v>3649.6350364963505</v>
      </c>
    </row>
    <row r="42" spans="1:5" x14ac:dyDescent="0.25">
      <c r="A42" s="43" t="s">
        <v>127</v>
      </c>
      <c r="B42" s="49">
        <f>($B34/$B37)*100</f>
        <v>9.8305084745762716</v>
      </c>
      <c r="C42" s="49"/>
    </row>
    <row r="43" spans="1:5" x14ac:dyDescent="0.25">
      <c r="A43" s="43" t="s">
        <v>128</v>
      </c>
      <c r="B43" s="50">
        <f>$B34/$B$38</f>
        <v>503.9972193256865</v>
      </c>
      <c r="C43" s="50">
        <f>$C34/$B$38</f>
        <v>336.34506430309426</v>
      </c>
    </row>
    <row r="44" spans="1:5" x14ac:dyDescent="0.25">
      <c r="A44" s="43"/>
      <c r="B44" s="50"/>
      <c r="C44" s="50"/>
    </row>
    <row r="45" spans="1:5" x14ac:dyDescent="0.25">
      <c r="A45" s="335" t="s">
        <v>1057</v>
      </c>
      <c r="B45" s="50"/>
      <c r="C45" s="50"/>
    </row>
    <row r="46" spans="1:5" x14ac:dyDescent="0.25">
      <c r="A46" s="43"/>
      <c r="B46" s="51"/>
    </row>
    <row r="47" spans="1:5" x14ac:dyDescent="0.25">
      <c r="A47" s="43" t="s">
        <v>129</v>
      </c>
    </row>
    <row r="48" spans="1:5" ht="15.45" customHeight="1" x14ac:dyDescent="0.25">
      <c r="A48" s="52" t="s">
        <v>130</v>
      </c>
      <c r="B48" s="53"/>
      <c r="C48" s="53"/>
      <c r="D48" s="53"/>
      <c r="E48" s="53"/>
    </row>
    <row r="50" spans="1:5" x14ac:dyDescent="0.25">
      <c r="A50" s="43" t="s">
        <v>131</v>
      </c>
    </row>
    <row r="51" spans="1:5" s="38" customFormat="1" x14ac:dyDescent="0.3">
      <c r="A51" s="54" t="s">
        <v>237</v>
      </c>
      <c r="B51" s="55"/>
      <c r="C51" s="55"/>
      <c r="D51" s="55"/>
      <c r="E51" s="55"/>
    </row>
    <row r="52" spans="1:5" s="38" customFormat="1" x14ac:dyDescent="0.25">
      <c r="A52" s="37" t="s">
        <v>200</v>
      </c>
      <c r="B52" s="55"/>
      <c r="C52" s="55"/>
      <c r="D52" s="55"/>
      <c r="E52" s="55"/>
    </row>
    <row r="53" spans="1:5" s="38" customFormat="1" x14ac:dyDescent="0.25">
      <c r="A53" s="37" t="s">
        <v>238</v>
      </c>
      <c r="B53" s="34"/>
      <c r="C53" s="34"/>
      <c r="D53" s="34"/>
      <c r="E53" s="34"/>
    </row>
    <row r="54" spans="1:5" s="38" customFormat="1" x14ac:dyDescent="0.25">
      <c r="A54" s="5"/>
      <c r="D54" s="37"/>
    </row>
    <row r="55" spans="1:5" s="38" customFormat="1" x14ac:dyDescent="0.25">
      <c r="D55" s="37"/>
    </row>
    <row r="56" spans="1:5" x14ac:dyDescent="0.25">
      <c r="A56" s="364" t="s">
        <v>1065</v>
      </c>
      <c r="B56" s="364"/>
      <c r="C56" s="364"/>
      <c r="D56" s="364"/>
      <c r="E56" s="364"/>
    </row>
    <row r="57" spans="1:5" x14ac:dyDescent="0.25">
      <c r="A57" s="364"/>
      <c r="B57" s="364"/>
      <c r="C57" s="364"/>
      <c r="D57" s="364"/>
      <c r="E57" s="364"/>
    </row>
  </sheetData>
  <sheetProtection algorithmName="SHA-512" hashValue="kG36QQIaLViyQoPD3dfTQlFZsYegb/TZzk+B4mSsU/jzfjpS/+X13+hSMB+op8PCC8cwykQBySyKQeW66FwlZA==" saltValue="Yy5tcTy7PndnnddC7mRrkA==" spinCount="100000" sheet="1" formatCells="0" formatColumns="0" formatRows="0" insertColumns="0" insertRows="0" insertHyperlinks="0" deleteColumns="0" deleteRows="0" sort="0" autoFilter="0" pivotTables="0"/>
  <mergeCells count="1">
    <mergeCell ref="A56:E57"/>
  </mergeCells>
  <hyperlinks>
    <hyperlink ref="A2" location="Index!B47" display="[Back to Index]" xr:uid="{D41F4E36-80AF-4CF8-858D-3DD838ACA4D3}"/>
  </hyperlinks>
  <pageMargins left="0.7" right="0.7" top="0.75" bottom="0.75" header="0.3" footer="0.3"/>
  <pageSetup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EBBA7-07FF-4BDE-BE76-6FF97F8C85B0}">
  <sheetPr codeName="Sheet26">
    <tabColor theme="8" tint="0.79998168889431442"/>
  </sheetPr>
  <dimension ref="A1:E58"/>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72</v>
      </c>
      <c r="B1" s="2" t="s">
        <v>234</v>
      </c>
      <c r="C1" s="84">
        <v>0</v>
      </c>
      <c r="D1" s="4" t="s">
        <v>1045</v>
      </c>
    </row>
    <row r="2" spans="1:5" s="5" customFormat="1" x14ac:dyDescent="0.25">
      <c r="A2" s="324" t="s">
        <v>74</v>
      </c>
      <c r="C2" s="84">
        <v>0</v>
      </c>
      <c r="D2" s="4" t="s">
        <v>1046</v>
      </c>
    </row>
    <row r="3" spans="1:5" s="5" customFormat="1" x14ac:dyDescent="0.25">
      <c r="A3" s="6"/>
      <c r="D3" s="7"/>
    </row>
    <row r="4" spans="1:5" s="10" customFormat="1" x14ac:dyDescent="0.3">
      <c r="A4" s="8" t="s">
        <v>75</v>
      </c>
      <c r="B4" s="9" t="s">
        <v>239</v>
      </c>
      <c r="C4" s="9" t="s">
        <v>77</v>
      </c>
      <c r="D4" s="9" t="s">
        <v>78</v>
      </c>
      <c r="E4" s="8" t="s">
        <v>79</v>
      </c>
    </row>
    <row r="5" spans="1:5" s="15" customFormat="1" ht="60" x14ac:dyDescent="0.25">
      <c r="A5" s="11" t="s">
        <v>80</v>
      </c>
      <c r="B5" s="12">
        <f>SUM(B6:B7)</f>
        <v>0</v>
      </c>
      <c r="C5" s="12">
        <f>SUM(C6:C7)</f>
        <v>0</v>
      </c>
      <c r="D5" s="24"/>
      <c r="E5" s="83"/>
    </row>
    <row r="6" spans="1:5" s="15" customFormat="1" ht="45" x14ac:dyDescent="0.25">
      <c r="A6" s="14" t="s">
        <v>81</v>
      </c>
      <c r="B6" s="16"/>
      <c r="C6" s="16"/>
      <c r="D6" s="24"/>
      <c r="E6" s="83"/>
    </row>
    <row r="7" spans="1:5" s="15" customFormat="1" ht="45" x14ac:dyDescent="0.25">
      <c r="A7" s="14" t="s">
        <v>84</v>
      </c>
      <c r="B7" s="17"/>
      <c r="C7" s="17"/>
      <c r="D7" s="24"/>
      <c r="E7" s="83"/>
    </row>
    <row r="8" spans="1:5" ht="30" x14ac:dyDescent="0.25">
      <c r="A8" s="11" t="s">
        <v>87</v>
      </c>
      <c r="B8" s="12">
        <f>SUM(B9:B11)</f>
        <v>0</v>
      </c>
      <c r="C8" s="12">
        <f>SUM(C9:C11)</f>
        <v>0</v>
      </c>
      <c r="D8" s="24"/>
      <c r="E8" s="83"/>
    </row>
    <row r="9" spans="1:5" ht="60" x14ac:dyDescent="0.25">
      <c r="A9" s="14" t="s">
        <v>88</v>
      </c>
      <c r="B9" s="16"/>
      <c r="C9" s="16"/>
      <c r="D9" s="24"/>
      <c r="E9" s="83"/>
    </row>
    <row r="10" spans="1:5" ht="60" x14ac:dyDescent="0.25">
      <c r="A10" s="14" t="s">
        <v>90</v>
      </c>
      <c r="B10" s="16"/>
      <c r="C10" s="16"/>
      <c r="D10" s="13" t="s">
        <v>240</v>
      </c>
      <c r="E10" s="13" t="s">
        <v>223</v>
      </c>
    </row>
    <row r="11" spans="1:5" x14ac:dyDescent="0.25">
      <c r="A11" s="14" t="s">
        <v>92</v>
      </c>
      <c r="B11" s="19"/>
      <c r="C11" s="19"/>
      <c r="D11" s="18"/>
      <c r="E11" s="14"/>
    </row>
    <row r="12" spans="1:5" ht="45" x14ac:dyDescent="0.25">
      <c r="A12" s="11" t="s">
        <v>93</v>
      </c>
      <c r="B12" s="12">
        <f>SUM(B13:B14)</f>
        <v>800000000</v>
      </c>
      <c r="C12" s="12">
        <f>SUM(C13:C14)</f>
        <v>6798674.258519589</v>
      </c>
      <c r="D12" s="24"/>
      <c r="E12" s="83"/>
    </row>
    <row r="13" spans="1:5" ht="60" x14ac:dyDescent="0.25">
      <c r="A13" s="14" t="s">
        <v>94</v>
      </c>
      <c r="B13" s="23">
        <f>(800)*10^6</f>
        <v>800000000</v>
      </c>
      <c r="C13" s="23">
        <f>B13/$B$36</f>
        <v>6798674.258519589</v>
      </c>
      <c r="D13" s="13" t="s">
        <v>241</v>
      </c>
      <c r="E13" s="14" t="s">
        <v>223</v>
      </c>
    </row>
    <row r="14" spans="1:5" x14ac:dyDescent="0.25">
      <c r="A14" s="14" t="s">
        <v>96</v>
      </c>
      <c r="B14" s="16"/>
      <c r="C14" s="16"/>
      <c r="D14" s="13"/>
      <c r="E14" s="14"/>
    </row>
    <row r="15" spans="1:5" ht="45" x14ac:dyDescent="0.25">
      <c r="A15" s="11" t="s">
        <v>97</v>
      </c>
      <c r="B15" s="12"/>
      <c r="C15" s="12"/>
      <c r="D15" s="24"/>
      <c r="E15" s="83"/>
    </row>
    <row r="16" spans="1:5" ht="30" x14ac:dyDescent="0.25">
      <c r="A16" s="11" t="s">
        <v>98</v>
      </c>
      <c r="B16" s="12">
        <f>SUM(B17:B18)</f>
        <v>0</v>
      </c>
      <c r="C16" s="12">
        <f>SUM(C17:C18)</f>
        <v>0</v>
      </c>
      <c r="D16" s="24"/>
      <c r="E16" s="83"/>
    </row>
    <row r="17" spans="1:5" ht="105" x14ac:dyDescent="0.25">
      <c r="A17" s="13" t="s">
        <v>99</v>
      </c>
      <c r="B17" s="85"/>
      <c r="C17" s="23"/>
      <c r="D17" s="14" t="s">
        <v>242</v>
      </c>
      <c r="E17" s="13" t="s">
        <v>223</v>
      </c>
    </row>
    <row r="18" spans="1:5" ht="165" x14ac:dyDescent="0.25">
      <c r="A18" s="13" t="s">
        <v>101</v>
      </c>
      <c r="B18" s="23"/>
      <c r="C18" s="23"/>
      <c r="D18" s="110" t="s">
        <v>243</v>
      </c>
      <c r="E18" s="13" t="s">
        <v>223</v>
      </c>
    </row>
    <row r="19" spans="1:5" ht="30" x14ac:dyDescent="0.25">
      <c r="A19" s="11" t="s">
        <v>103</v>
      </c>
      <c r="B19" s="12"/>
      <c r="C19" s="12"/>
      <c r="D19" s="24"/>
      <c r="E19" s="83"/>
    </row>
    <row r="20" spans="1:5" x14ac:dyDescent="0.25">
      <c r="A20" s="14" t="s">
        <v>104</v>
      </c>
      <c r="B20" s="16"/>
      <c r="C20" s="16"/>
      <c r="D20" s="24"/>
      <c r="E20" s="108"/>
    </row>
    <row r="21" spans="1:5" ht="30" x14ac:dyDescent="0.25">
      <c r="A21" s="22" t="s">
        <v>105</v>
      </c>
      <c r="B21" s="16">
        <f>SUM(B22,B24)</f>
        <v>0</v>
      </c>
      <c r="C21" s="16">
        <f>SUM(C22,C24)</f>
        <v>0</v>
      </c>
      <c r="D21" s="24"/>
      <c r="E21" s="83"/>
    </row>
    <row r="22" spans="1:5" x14ac:dyDescent="0.25">
      <c r="A22" s="22" t="s">
        <v>108</v>
      </c>
      <c r="B22" s="16"/>
      <c r="C22" s="16"/>
      <c r="D22" s="24"/>
      <c r="E22" s="83"/>
    </row>
    <row r="23" spans="1:5" x14ac:dyDescent="0.25">
      <c r="A23" s="13" t="s">
        <v>109</v>
      </c>
      <c r="B23" s="16"/>
      <c r="C23" s="16"/>
      <c r="D23" s="24"/>
      <c r="E23" s="83"/>
    </row>
    <row r="24" spans="1:5" x14ac:dyDescent="0.25">
      <c r="A24" s="22" t="s">
        <v>110</v>
      </c>
      <c r="B24" s="23"/>
      <c r="C24" s="23"/>
      <c r="D24" s="24"/>
      <c r="E24" s="83"/>
    </row>
    <row r="25" spans="1:5" x14ac:dyDescent="0.25">
      <c r="A25" s="13" t="s">
        <v>109</v>
      </c>
      <c r="B25" s="16"/>
      <c r="C25" s="23"/>
      <c r="D25" s="24"/>
      <c r="E25" s="83"/>
    </row>
    <row r="26" spans="1:5" x14ac:dyDescent="0.25">
      <c r="A26" s="22" t="s">
        <v>111</v>
      </c>
      <c r="B26" s="12">
        <f>SUM(B27:B29)</f>
        <v>29417500</v>
      </c>
      <c r="C26" s="12">
        <f>SUM(C27:C29)</f>
        <v>250000</v>
      </c>
      <c r="D26" s="24"/>
      <c r="E26" s="83"/>
    </row>
    <row r="27" spans="1:5" x14ac:dyDescent="0.25">
      <c r="A27" s="13" t="s">
        <v>112</v>
      </c>
      <c r="B27" s="16"/>
      <c r="C27" s="16"/>
      <c r="D27" s="24"/>
      <c r="E27" s="83"/>
    </row>
    <row r="28" spans="1:5" x14ac:dyDescent="0.25">
      <c r="A28" s="13" t="s">
        <v>115</v>
      </c>
      <c r="B28" s="16"/>
      <c r="C28" s="16"/>
      <c r="D28" s="24"/>
      <c r="E28" s="83"/>
    </row>
    <row r="29" spans="1:5" x14ac:dyDescent="0.25">
      <c r="A29" s="13" t="s">
        <v>116</v>
      </c>
      <c r="B29" s="19">
        <f>SUM(B30:B31)</f>
        <v>29417500</v>
      </c>
      <c r="C29" s="19">
        <f>SUM(C30:C31)</f>
        <v>250000</v>
      </c>
      <c r="D29" s="24"/>
      <c r="E29" s="83"/>
    </row>
    <row r="30" spans="1:5" ht="30" x14ac:dyDescent="0.25">
      <c r="A30" s="13" t="s">
        <v>117</v>
      </c>
      <c r="B30" s="19">
        <f>C30*$B$36</f>
        <v>29417500</v>
      </c>
      <c r="C30" s="19">
        <f>(0.25)*10^6</f>
        <v>250000</v>
      </c>
      <c r="D30" s="14" t="s">
        <v>244</v>
      </c>
      <c r="E30" s="24" t="s">
        <v>209</v>
      </c>
    </row>
    <row r="31" spans="1:5" ht="90" x14ac:dyDescent="0.25">
      <c r="A31" s="13" t="s">
        <v>118</v>
      </c>
      <c r="B31" s="19"/>
      <c r="C31" s="19"/>
      <c r="D31" s="89" t="s">
        <v>245</v>
      </c>
      <c r="E31" s="13" t="s">
        <v>223</v>
      </c>
    </row>
    <row r="32" spans="1:5" x14ac:dyDescent="0.25">
      <c r="A32" s="11" t="s">
        <v>119</v>
      </c>
      <c r="B32" s="30"/>
      <c r="C32" s="12"/>
      <c r="D32" s="24"/>
      <c r="E32" s="83"/>
    </row>
    <row r="33" spans="1:5" x14ac:dyDescent="0.25">
      <c r="A33" s="31"/>
      <c r="B33" s="32"/>
      <c r="C33" s="32"/>
      <c r="D33" s="33"/>
      <c r="E33" s="34"/>
    </row>
    <row r="34" spans="1:5" x14ac:dyDescent="0.25">
      <c r="A34" s="35" t="s">
        <v>120</v>
      </c>
      <c r="B34" s="109">
        <f>SUM(B5,B8,B12,B15,B16)</f>
        <v>800000000</v>
      </c>
      <c r="C34" s="109">
        <f>SUM(C5,C8,C12,C15,C16)</f>
        <v>6798674.258519589</v>
      </c>
    </row>
    <row r="35" spans="1:5" x14ac:dyDescent="0.25">
      <c r="A35" s="35"/>
      <c r="B35" s="39"/>
      <c r="C35" s="40"/>
    </row>
    <row r="36" spans="1:5" x14ac:dyDescent="0.25">
      <c r="A36" s="35" t="s">
        <v>155</v>
      </c>
      <c r="B36" s="88">
        <v>117.67</v>
      </c>
      <c r="C36" s="42"/>
    </row>
    <row r="37" spans="1:5" x14ac:dyDescent="0.25">
      <c r="A37" s="43" t="s">
        <v>122</v>
      </c>
      <c r="B37" s="45">
        <v>106750000000</v>
      </c>
      <c r="C37" s="45">
        <v>951000000</v>
      </c>
    </row>
    <row r="38" spans="1:5" x14ac:dyDescent="0.25">
      <c r="A38" s="43" t="s">
        <v>123</v>
      </c>
      <c r="B38" s="45">
        <v>292680</v>
      </c>
      <c r="C38" s="45"/>
    </row>
    <row r="39" spans="1:5" x14ac:dyDescent="0.25">
      <c r="A39" s="43"/>
      <c r="B39" s="44"/>
      <c r="C39" s="44"/>
    </row>
    <row r="40" spans="1:5" x14ac:dyDescent="0.25">
      <c r="A40" s="5"/>
      <c r="B40" s="46" t="s">
        <v>246</v>
      </c>
      <c r="C40" s="47" t="s">
        <v>125</v>
      </c>
    </row>
    <row r="41" spans="1:5" x14ac:dyDescent="0.25">
      <c r="A41" s="43" t="s">
        <v>126</v>
      </c>
      <c r="B41" s="48">
        <f>$B37/$B$38</f>
        <v>364732.81399480661</v>
      </c>
      <c r="C41" s="48">
        <f>$C37/$B$38</f>
        <v>3249.2824928249283</v>
      </c>
    </row>
    <row r="42" spans="1:5" x14ac:dyDescent="0.25">
      <c r="A42" s="43" t="s">
        <v>127</v>
      </c>
      <c r="B42" s="49">
        <f>($B34/$B37)*100</f>
        <v>0.74941451990632313</v>
      </c>
      <c r="C42" s="49"/>
    </row>
    <row r="43" spans="1:5" x14ac:dyDescent="0.25">
      <c r="A43" s="43" t="s">
        <v>128</v>
      </c>
      <c r="B43" s="50">
        <f>$B34/$B$38</f>
        <v>2733.3606669400028</v>
      </c>
      <c r="C43" s="50">
        <f>$C34/$B$38</f>
        <v>23.229036006968666</v>
      </c>
    </row>
    <row r="44" spans="1:5" x14ac:dyDescent="0.25">
      <c r="A44" s="43"/>
      <c r="B44" s="50"/>
      <c r="C44" s="50"/>
    </row>
    <row r="45" spans="1:5" x14ac:dyDescent="0.25">
      <c r="A45" s="335" t="s">
        <v>1057</v>
      </c>
      <c r="B45" s="50"/>
      <c r="C45" s="50"/>
    </row>
    <row r="46" spans="1:5" x14ac:dyDescent="0.25">
      <c r="A46" s="43"/>
      <c r="B46" s="51"/>
    </row>
    <row r="47" spans="1:5" x14ac:dyDescent="0.25">
      <c r="A47" s="43" t="s">
        <v>129</v>
      </c>
    </row>
    <row r="48" spans="1:5" ht="15.6" customHeight="1" x14ac:dyDescent="0.25">
      <c r="A48" s="52" t="s">
        <v>130</v>
      </c>
      <c r="B48" s="53"/>
      <c r="C48" s="53"/>
      <c r="D48" s="53"/>
      <c r="E48" s="53"/>
    </row>
    <row r="49" spans="1:5" ht="15.6" customHeight="1" x14ac:dyDescent="0.25">
      <c r="A49" s="52"/>
      <c r="B49" s="53"/>
      <c r="C49" s="53"/>
      <c r="D49" s="53"/>
      <c r="E49" s="53"/>
    </row>
    <row r="50" spans="1:5" x14ac:dyDescent="0.25">
      <c r="A50" s="43" t="s">
        <v>131</v>
      </c>
    </row>
    <row r="51" spans="1:5" s="38" customFormat="1" x14ac:dyDescent="0.25">
      <c r="A51" s="37" t="s">
        <v>247</v>
      </c>
      <c r="B51" s="55"/>
      <c r="C51" s="55"/>
      <c r="D51" s="55"/>
      <c r="E51" s="55"/>
    </row>
    <row r="52" spans="1:5" s="38" customFormat="1" x14ac:dyDescent="0.25">
      <c r="A52" s="37" t="s">
        <v>248</v>
      </c>
      <c r="B52" s="55"/>
      <c r="C52" s="55"/>
      <c r="D52" s="55"/>
      <c r="E52" s="55"/>
    </row>
    <row r="53" spans="1:5" s="38" customFormat="1" x14ac:dyDescent="0.25">
      <c r="A53" s="37" t="s">
        <v>249</v>
      </c>
      <c r="B53" s="34"/>
      <c r="C53" s="34"/>
      <c r="D53" s="34"/>
      <c r="E53" s="34"/>
    </row>
    <row r="54" spans="1:5" s="38" customFormat="1" x14ac:dyDescent="0.25">
      <c r="A54" s="7" t="s">
        <v>250</v>
      </c>
      <c r="D54" s="37"/>
    </row>
    <row r="55" spans="1:5" s="38" customFormat="1" x14ac:dyDescent="0.25">
      <c r="D55" s="37"/>
    </row>
    <row r="56" spans="1:5" s="38" customFormat="1" x14ac:dyDescent="0.25">
      <c r="A56" s="5"/>
      <c r="D56" s="37"/>
    </row>
    <row r="57" spans="1:5" x14ac:dyDescent="0.25">
      <c r="A57" s="364" t="s">
        <v>1065</v>
      </c>
      <c r="B57" s="364"/>
      <c r="C57" s="364"/>
      <c r="D57" s="364"/>
      <c r="E57" s="364"/>
    </row>
    <row r="58" spans="1:5" x14ac:dyDescent="0.25">
      <c r="A58" s="364"/>
      <c r="B58" s="364"/>
      <c r="C58" s="364"/>
      <c r="D58" s="364"/>
      <c r="E58" s="364"/>
    </row>
  </sheetData>
  <sheetProtection algorithmName="SHA-512" hashValue="Ty3SVKFBB40oquIKgpsyVCH7lV9u9xwbiKr5atns+vSas/6+ay+IGhjoB+sdkoZRJGEIq+fEz6nTBathycFqaA==" saltValue="6RVjU0m6qHcszy/66ljhTA==" spinCount="100000" sheet="1" formatCells="0" formatColumns="0" formatRows="0" insertColumns="0" insertRows="0" insertHyperlinks="0" deleteColumns="0" deleteRows="0" sort="0" autoFilter="0" pivotTables="0"/>
  <mergeCells count="1">
    <mergeCell ref="A57:E58"/>
  </mergeCells>
  <hyperlinks>
    <hyperlink ref="A2" location="Index!B48" display="[Back to Index]" xr:uid="{E097EF9C-0796-45BE-9D1C-8001A57316D1}"/>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B9426-10BA-4FA9-BE3E-0DF7755DA302}">
  <sheetPr codeName="Sheet27">
    <tabColor rgb="FFFFD1FF"/>
  </sheetPr>
  <dimension ref="A1:E6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70" customWidth="1"/>
    <col min="2" max="2" width="27.5546875" style="70" customWidth="1"/>
    <col min="3" max="3" width="27.6640625" style="70" customWidth="1"/>
    <col min="4" max="4" width="95.6640625" style="70" customWidth="1"/>
    <col min="5" max="5" width="40.6640625" style="70" customWidth="1"/>
    <col min="6" max="16384" width="8.6640625" style="37"/>
  </cols>
  <sheetData>
    <row r="1" spans="1:5" s="7" customFormat="1" ht="17.399999999999999" x14ac:dyDescent="0.25">
      <c r="A1" s="112" t="s">
        <v>3</v>
      </c>
      <c r="B1" s="2" t="s">
        <v>73</v>
      </c>
      <c r="C1" s="84">
        <v>2.4426730000000001</v>
      </c>
      <c r="D1" s="4" t="s">
        <v>1045</v>
      </c>
    </row>
    <row r="2" spans="1:5" s="7" customFormat="1" x14ac:dyDescent="0.25">
      <c r="A2" s="324" t="s">
        <v>74</v>
      </c>
      <c r="C2" s="84">
        <v>8.0705100000000002E-2</v>
      </c>
      <c r="D2" s="4" t="s">
        <v>1046</v>
      </c>
    </row>
    <row r="3" spans="1:5" s="7" customFormat="1" x14ac:dyDescent="0.25">
      <c r="A3" s="61"/>
    </row>
    <row r="4" spans="1:5" s="62" customFormat="1" x14ac:dyDescent="0.3">
      <c r="A4" s="9" t="s">
        <v>75</v>
      </c>
      <c r="B4" s="115" t="s">
        <v>543</v>
      </c>
      <c r="C4" s="9" t="s">
        <v>77</v>
      </c>
      <c r="D4" s="115" t="s">
        <v>400</v>
      </c>
      <c r="E4" s="9" t="s">
        <v>401</v>
      </c>
    </row>
    <row r="5" spans="1:5" s="63" customFormat="1" ht="60" x14ac:dyDescent="0.25">
      <c r="A5" s="22" t="s">
        <v>80</v>
      </c>
      <c r="B5" s="97">
        <f>SUM(B6:B7)</f>
        <v>0</v>
      </c>
      <c r="C5" s="97">
        <f>SUM(C6:C7)</f>
        <v>0</v>
      </c>
      <c r="D5" s="13"/>
      <c r="E5" s="13"/>
    </row>
    <row r="6" spans="1:5" s="63" customFormat="1" ht="45" x14ac:dyDescent="0.25">
      <c r="A6" s="13" t="s">
        <v>81</v>
      </c>
      <c r="B6" s="97"/>
      <c r="C6" s="97"/>
      <c r="D6" s="13"/>
      <c r="E6" s="13"/>
    </row>
    <row r="7" spans="1:5" s="63" customFormat="1" ht="45" x14ac:dyDescent="0.25">
      <c r="A7" s="13" t="s">
        <v>84</v>
      </c>
      <c r="B7" s="98"/>
      <c r="C7" s="98"/>
      <c r="D7" s="13"/>
      <c r="E7" s="13"/>
    </row>
    <row r="8" spans="1:5" ht="30" x14ac:dyDescent="0.25">
      <c r="A8" s="22" t="s">
        <v>87</v>
      </c>
      <c r="B8" s="97">
        <f>SUM(B9:B11)</f>
        <v>0</v>
      </c>
      <c r="C8" s="97">
        <f>SUM(C9:C11)</f>
        <v>0</v>
      </c>
      <c r="D8" s="13"/>
      <c r="E8" s="13"/>
    </row>
    <row r="9" spans="1:5" ht="60" x14ac:dyDescent="0.25">
      <c r="A9" s="13" t="s">
        <v>166</v>
      </c>
      <c r="B9" s="97"/>
      <c r="C9" s="97"/>
      <c r="D9" s="13"/>
      <c r="E9" s="13"/>
    </row>
    <row r="10" spans="1:5" ht="54.45" customHeight="1" x14ac:dyDescent="0.25">
      <c r="A10" s="13" t="s">
        <v>90</v>
      </c>
      <c r="B10" s="97"/>
      <c r="C10" s="97"/>
      <c r="D10" s="24" t="s">
        <v>544</v>
      </c>
      <c r="E10" s="13" t="s">
        <v>232</v>
      </c>
    </row>
    <row r="11" spans="1:5" x14ac:dyDescent="0.25">
      <c r="A11" s="13" t="s">
        <v>92</v>
      </c>
      <c r="B11" s="97"/>
      <c r="C11" s="97"/>
      <c r="D11" s="13"/>
      <c r="E11" s="13"/>
    </row>
    <row r="12" spans="1:5" ht="45" x14ac:dyDescent="0.25">
      <c r="A12" s="22" t="s">
        <v>93</v>
      </c>
      <c r="B12" s="97">
        <f>SUM(B13:B14)</f>
        <v>0</v>
      </c>
      <c r="C12" s="97">
        <f>SUM(C13:C14)</f>
        <v>0</v>
      </c>
      <c r="D12" s="13"/>
      <c r="E12" s="13"/>
    </row>
    <row r="13" spans="1:5" ht="45" x14ac:dyDescent="0.25">
      <c r="A13" s="13" t="s">
        <v>171</v>
      </c>
      <c r="B13" s="193"/>
      <c r="C13" s="193"/>
      <c r="D13" s="13"/>
      <c r="E13" s="13"/>
    </row>
    <row r="14" spans="1:5" x14ac:dyDescent="0.25">
      <c r="A14" s="13" t="s">
        <v>96</v>
      </c>
      <c r="B14" s="97"/>
      <c r="C14" s="97"/>
      <c r="D14" s="13"/>
      <c r="E14" s="13"/>
    </row>
    <row r="15" spans="1:5" ht="45" x14ac:dyDescent="0.25">
      <c r="A15" s="22" t="s">
        <v>97</v>
      </c>
      <c r="B15" s="97"/>
      <c r="C15" s="97"/>
      <c r="D15" s="13"/>
      <c r="E15" s="13"/>
    </row>
    <row r="16" spans="1:5" ht="30" x14ac:dyDescent="0.25">
      <c r="A16" s="22" t="s">
        <v>98</v>
      </c>
      <c r="B16" s="194">
        <f>SUM(B17:B18)</f>
        <v>10500000000</v>
      </c>
      <c r="C16" s="194">
        <f>SUM(C17:C18)</f>
        <v>133432020.5028847</v>
      </c>
      <c r="D16" s="13"/>
      <c r="E16" s="13"/>
    </row>
    <row r="17" spans="1:5" ht="111" customHeight="1" x14ac:dyDescent="0.25">
      <c r="A17" s="13" t="s">
        <v>99</v>
      </c>
      <c r="B17" s="195">
        <f>+(1.9+8.6)*10^9</f>
        <v>10500000000</v>
      </c>
      <c r="C17" s="195">
        <f>+B17/$B$36</f>
        <v>133432020.5028847</v>
      </c>
      <c r="D17" s="24" t="s">
        <v>545</v>
      </c>
      <c r="E17" s="13" t="s">
        <v>546</v>
      </c>
    </row>
    <row r="18" spans="1:5" x14ac:dyDescent="0.25">
      <c r="A18" s="13" t="s">
        <v>101</v>
      </c>
      <c r="B18" s="193"/>
      <c r="C18" s="193"/>
      <c r="D18" s="92"/>
      <c r="E18" s="13"/>
    </row>
    <row r="19" spans="1:5" ht="30" x14ac:dyDescent="0.25">
      <c r="A19" s="22" t="s">
        <v>103</v>
      </c>
      <c r="B19" s="97"/>
      <c r="C19" s="97"/>
      <c r="D19" s="13"/>
      <c r="E19" s="66"/>
    </row>
    <row r="20" spans="1:5" x14ac:dyDescent="0.25">
      <c r="A20" s="13" t="s">
        <v>104</v>
      </c>
      <c r="B20" s="97"/>
      <c r="C20" s="97"/>
      <c r="D20" s="13"/>
      <c r="E20" s="66"/>
    </row>
    <row r="21" spans="1:5" ht="30" x14ac:dyDescent="0.25">
      <c r="A21" s="22" t="s">
        <v>105</v>
      </c>
      <c r="B21" s="97">
        <f>SUM(B22,B24)</f>
        <v>0</v>
      </c>
      <c r="C21" s="97">
        <f>SUM(C22,C24)</f>
        <v>0</v>
      </c>
      <c r="D21" s="13"/>
      <c r="E21" s="13"/>
    </row>
    <row r="22" spans="1:5" x14ac:dyDescent="0.25">
      <c r="A22" s="22" t="s">
        <v>108</v>
      </c>
      <c r="B22" s="97"/>
      <c r="C22" s="97"/>
      <c r="D22" s="13"/>
      <c r="E22" s="13"/>
    </row>
    <row r="23" spans="1:5" x14ac:dyDescent="0.25">
      <c r="A23" s="13" t="s">
        <v>109</v>
      </c>
      <c r="B23" s="97"/>
      <c r="C23" s="97"/>
      <c r="D23" s="13"/>
      <c r="E23" s="13"/>
    </row>
    <row r="24" spans="1:5" x14ac:dyDescent="0.25">
      <c r="A24" s="22" t="s">
        <v>110</v>
      </c>
      <c r="B24" s="193"/>
      <c r="C24" s="193"/>
      <c r="D24" s="24"/>
      <c r="E24" s="13"/>
    </row>
    <row r="25" spans="1:5" x14ac:dyDescent="0.25">
      <c r="A25" s="13" t="s">
        <v>109</v>
      </c>
      <c r="B25" s="97"/>
      <c r="C25" s="193"/>
      <c r="D25" s="13"/>
      <c r="E25" s="13"/>
    </row>
    <row r="26" spans="1:5" x14ac:dyDescent="0.25">
      <c r="A26" s="22" t="s">
        <v>111</v>
      </c>
      <c r="B26" s="87">
        <f>SUM(B27:B29)</f>
        <v>259067509.4650206</v>
      </c>
      <c r="C26" s="12">
        <f>SUM(C27:C29)</f>
        <v>3292181.0699588479</v>
      </c>
      <c r="D26" s="13"/>
      <c r="E26" s="13"/>
    </row>
    <row r="27" spans="1:5" x14ac:dyDescent="0.25">
      <c r="A27" s="13" t="s">
        <v>112</v>
      </c>
      <c r="B27" s="97"/>
      <c r="C27" s="16"/>
      <c r="D27" s="13"/>
      <c r="E27" s="13"/>
    </row>
    <row r="28" spans="1:5" ht="55.5" customHeight="1" x14ac:dyDescent="0.25">
      <c r="A28" s="13" t="s">
        <v>115</v>
      </c>
      <c r="B28" s="97"/>
      <c r="C28" s="16"/>
      <c r="D28" s="13" t="s">
        <v>547</v>
      </c>
      <c r="E28" s="13" t="s">
        <v>232</v>
      </c>
    </row>
    <row r="29" spans="1:5" x14ac:dyDescent="0.25">
      <c r="A29" s="13" t="s">
        <v>116</v>
      </c>
      <c r="B29" s="97">
        <f>SUM(B30:B31)</f>
        <v>259067509.4650206</v>
      </c>
      <c r="C29" s="16">
        <f>SUM(C30:C31)</f>
        <v>3292181.0699588479</v>
      </c>
      <c r="D29" s="13"/>
      <c r="E29" s="13"/>
    </row>
    <row r="30" spans="1:5" x14ac:dyDescent="0.25">
      <c r="A30" s="13" t="s">
        <v>117</v>
      </c>
      <c r="B30" s="97"/>
      <c r="C30" s="16"/>
      <c r="D30" s="24"/>
      <c r="E30" s="24"/>
    </row>
    <row r="31" spans="1:5" ht="30" x14ac:dyDescent="0.25">
      <c r="A31" s="13" t="s">
        <v>118</v>
      </c>
      <c r="B31" s="97">
        <f>+C31*B36</f>
        <v>259067509.4650206</v>
      </c>
      <c r="C31" s="16">
        <f>+(2.4*10^6)/0.729</f>
        <v>3292181.0699588479</v>
      </c>
      <c r="D31" s="13" t="s">
        <v>548</v>
      </c>
      <c r="E31" s="13" t="s">
        <v>549</v>
      </c>
    </row>
    <row r="32" spans="1:5" x14ac:dyDescent="0.25">
      <c r="A32" s="22" t="s">
        <v>119</v>
      </c>
      <c r="B32" s="193"/>
      <c r="C32" s="97"/>
      <c r="D32" s="13"/>
      <c r="E32" s="13"/>
    </row>
    <row r="33" spans="1:5" s="196" customFormat="1" x14ac:dyDescent="0.3">
      <c r="A33" s="35"/>
      <c r="B33" s="176"/>
      <c r="C33" s="176"/>
      <c r="D33" s="33"/>
      <c r="E33" s="33"/>
    </row>
    <row r="34" spans="1:5" s="196" customFormat="1" x14ac:dyDescent="0.3">
      <c r="A34" s="35" t="s">
        <v>120</v>
      </c>
      <c r="B34" s="71">
        <f>SUM(B5,B8,B12,B15,B16)</f>
        <v>10500000000</v>
      </c>
      <c r="C34" s="71">
        <f>SUM(C5,C8,C12,C15,C16)</f>
        <v>133432020.5028847</v>
      </c>
      <c r="D34" s="70"/>
      <c r="E34" s="70"/>
    </row>
    <row r="35" spans="1:5" s="196" customFormat="1" x14ac:dyDescent="0.3">
      <c r="A35" s="35"/>
      <c r="B35" s="71"/>
      <c r="C35" s="72"/>
      <c r="D35" s="70"/>
      <c r="E35" s="70"/>
    </row>
    <row r="36" spans="1:5" s="196" customFormat="1" x14ac:dyDescent="0.3">
      <c r="A36" s="35" t="s">
        <v>121</v>
      </c>
      <c r="B36" s="49">
        <v>78.691755999999998</v>
      </c>
      <c r="C36" s="74"/>
      <c r="D36" s="70"/>
      <c r="E36" s="70"/>
    </row>
    <row r="37" spans="1:5" s="196" customFormat="1" x14ac:dyDescent="0.3">
      <c r="A37" s="75" t="s">
        <v>122</v>
      </c>
      <c r="B37" s="77">
        <v>1502470000000</v>
      </c>
      <c r="C37" s="77">
        <v>18734000000</v>
      </c>
      <c r="D37" s="70"/>
      <c r="E37" s="70"/>
    </row>
    <row r="38" spans="1:5" s="196" customFormat="1" x14ac:dyDescent="0.25">
      <c r="A38" s="75" t="s">
        <v>123</v>
      </c>
      <c r="B38" s="77">
        <v>37172386</v>
      </c>
      <c r="C38" s="162"/>
      <c r="D38" s="70"/>
      <c r="E38" s="70"/>
    </row>
    <row r="39" spans="1:5" s="196" customFormat="1" x14ac:dyDescent="0.3">
      <c r="A39" s="75"/>
      <c r="B39" s="76"/>
      <c r="C39" s="76"/>
      <c r="D39" s="70"/>
      <c r="E39" s="70"/>
    </row>
    <row r="40" spans="1:5" s="196" customFormat="1" x14ac:dyDescent="0.3">
      <c r="A40" s="7"/>
      <c r="B40" s="191" t="s">
        <v>550</v>
      </c>
      <c r="C40" s="47" t="s">
        <v>125</v>
      </c>
      <c r="D40" s="70"/>
      <c r="E40" s="70"/>
    </row>
    <row r="41" spans="1:5" s="196" customFormat="1" x14ac:dyDescent="0.3">
      <c r="A41" s="75" t="s">
        <v>126</v>
      </c>
      <c r="B41" s="48">
        <f>$B37/$B38</f>
        <v>40418.981983023637</v>
      </c>
      <c r="C41" s="48">
        <f>$C37/$B38</f>
        <v>503.97625807501299</v>
      </c>
      <c r="D41" s="70"/>
      <c r="E41" s="70"/>
    </row>
    <row r="42" spans="1:5" s="196" customFormat="1" x14ac:dyDescent="0.3">
      <c r="A42" s="75" t="s">
        <v>127</v>
      </c>
      <c r="B42" s="49">
        <f>($B34/$B37)*100</f>
        <v>0.69884922827078078</v>
      </c>
      <c r="C42" s="49"/>
      <c r="D42" s="70"/>
      <c r="E42" s="70"/>
    </row>
    <row r="43" spans="1:5" s="196" customFormat="1" x14ac:dyDescent="0.3">
      <c r="A43" s="75" t="s">
        <v>128</v>
      </c>
      <c r="B43" s="78">
        <f>B34/B38</f>
        <v>282.46774366326662</v>
      </c>
      <c r="C43" s="78">
        <f>C34/B38</f>
        <v>3.5895468346552923</v>
      </c>
      <c r="D43" s="70"/>
      <c r="E43" s="70"/>
    </row>
    <row r="44" spans="1:5" s="196" customFormat="1" x14ac:dyDescent="0.3">
      <c r="A44" s="75"/>
      <c r="B44" s="78"/>
      <c r="C44" s="78"/>
      <c r="D44" s="70"/>
      <c r="E44" s="70"/>
    </row>
    <row r="45" spans="1:5" s="196" customFormat="1" x14ac:dyDescent="0.3">
      <c r="A45" s="336" t="s">
        <v>1057</v>
      </c>
      <c r="B45" s="78"/>
      <c r="C45" s="78"/>
      <c r="D45" s="70"/>
      <c r="E45" s="70"/>
    </row>
    <row r="46" spans="1:5" s="196" customFormat="1" x14ac:dyDescent="0.3">
      <c r="A46" s="336"/>
      <c r="B46" s="78"/>
      <c r="C46" s="78"/>
      <c r="D46" s="70"/>
      <c r="E46" s="70"/>
    </row>
    <row r="47" spans="1:5" s="196" customFormat="1" x14ac:dyDescent="0.3">
      <c r="A47" s="75"/>
      <c r="B47" s="79"/>
      <c r="C47" s="70"/>
      <c r="D47" s="70"/>
      <c r="E47" s="70"/>
    </row>
    <row r="48" spans="1:5" s="196" customFormat="1" x14ac:dyDescent="0.3">
      <c r="A48" s="75" t="s">
        <v>129</v>
      </c>
      <c r="B48" s="70"/>
      <c r="C48" s="70"/>
      <c r="D48" s="70"/>
      <c r="E48" s="70"/>
    </row>
    <row r="49" spans="1:5" s="196" customFormat="1" ht="15.45" customHeight="1" x14ac:dyDescent="0.25">
      <c r="A49" s="37" t="s">
        <v>551</v>
      </c>
      <c r="B49" s="53"/>
      <c r="C49" s="53"/>
      <c r="D49" s="53"/>
      <c r="E49" s="53"/>
    </row>
    <row r="50" spans="1:5" s="196" customFormat="1" ht="15.45" customHeight="1" x14ac:dyDescent="0.3">
      <c r="A50" s="7" t="s">
        <v>552</v>
      </c>
      <c r="B50" s="53"/>
      <c r="C50" s="53"/>
      <c r="D50" s="53"/>
      <c r="E50" s="53"/>
    </row>
    <row r="51" spans="1:5" s="70" customFormat="1" ht="15.45" customHeight="1" x14ac:dyDescent="0.3">
      <c r="A51" s="53"/>
      <c r="B51" s="53"/>
      <c r="C51" s="53"/>
      <c r="D51" s="53"/>
      <c r="E51" s="53"/>
    </row>
    <row r="53" spans="1:5" s="70" customFormat="1" x14ac:dyDescent="0.3">
      <c r="A53" s="75" t="s">
        <v>131</v>
      </c>
    </row>
    <row r="54" spans="1:5" s="70" customFormat="1" x14ac:dyDescent="0.25">
      <c r="A54" s="54" t="s">
        <v>553</v>
      </c>
      <c r="C54" s="147"/>
      <c r="E54" s="37"/>
    </row>
    <row r="55" spans="1:5" s="70" customFormat="1" x14ac:dyDescent="0.25">
      <c r="A55" s="54" t="s">
        <v>554</v>
      </c>
      <c r="C55" s="147"/>
      <c r="E55" s="37"/>
    </row>
    <row r="56" spans="1:5" s="70" customFormat="1" x14ac:dyDescent="0.25">
      <c r="A56" s="54" t="s">
        <v>555</v>
      </c>
      <c r="C56" s="147"/>
      <c r="E56" s="37"/>
    </row>
    <row r="57" spans="1:5" s="70" customFormat="1" x14ac:dyDescent="0.3">
      <c r="A57" s="70" t="s">
        <v>556</v>
      </c>
      <c r="B57" s="33"/>
      <c r="C57" s="33"/>
      <c r="D57" s="33"/>
      <c r="E57" s="33"/>
    </row>
    <row r="58" spans="1:5" s="70" customFormat="1" x14ac:dyDescent="0.3">
      <c r="A58" s="7" t="s">
        <v>557</v>
      </c>
    </row>
    <row r="59" spans="1:5" s="70" customFormat="1" x14ac:dyDescent="0.3">
      <c r="A59" s="7" t="s">
        <v>552</v>
      </c>
    </row>
    <row r="60" spans="1:5" s="70" customFormat="1" x14ac:dyDescent="0.3">
      <c r="A60" s="7"/>
    </row>
    <row r="61" spans="1:5" s="70" customFormat="1" x14ac:dyDescent="0.3">
      <c r="A61" s="7"/>
    </row>
    <row r="62" spans="1:5" x14ac:dyDescent="0.25">
      <c r="A62" s="367" t="s">
        <v>1060</v>
      </c>
      <c r="B62" s="367"/>
      <c r="C62" s="367"/>
      <c r="D62" s="367"/>
      <c r="E62" s="367"/>
    </row>
    <row r="63" spans="1:5" x14ac:dyDescent="0.25">
      <c r="A63" s="367"/>
      <c r="B63" s="367"/>
      <c r="C63" s="367"/>
      <c r="D63" s="367"/>
      <c r="E63" s="367"/>
    </row>
  </sheetData>
  <sheetProtection algorithmName="SHA-512" hashValue="A5Wcs45Z93g7HY09ylMbSpmjzQ8BqkDYxUe+u45DB9noanC8NKGDjjZB8kDnite8PHAF9/CWDslBZJ2JMKHisw==" saltValue="ZgSb4DkKEdHoN8PqKwQcdw==" spinCount="100000" sheet="1" formatCells="0" formatColumns="0" formatRows="0" insertColumns="0" insertRows="0" insertHyperlinks="0" deleteColumns="0" deleteRows="0" sort="0" autoFilter="0" pivotTables="0"/>
  <mergeCells count="1">
    <mergeCell ref="A62:E63"/>
  </mergeCells>
  <hyperlinks>
    <hyperlink ref="A2" location="Index!E22" display="[Back to Index]" xr:uid="{DAB90895-8501-4050-9DE0-241D86C61DF1}"/>
  </hyperlinks>
  <pageMargins left="0.7" right="0.7" top="0.75" bottom="0.75" header="0.3" footer="0.3"/>
  <pageSetup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91A2-35B2-4CD8-B22F-F9A615310972}">
  <sheetPr codeName="Sheet28">
    <tabColor rgb="FFFFD1FF"/>
  </sheetPr>
  <dimension ref="A1:E58"/>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77734375" style="18"/>
  </cols>
  <sheetData>
    <row r="1" spans="1:5" s="5" customFormat="1" ht="17.399999999999999" x14ac:dyDescent="0.25">
      <c r="A1" s="112" t="s">
        <v>6</v>
      </c>
      <c r="B1" s="2" t="s">
        <v>73</v>
      </c>
      <c r="C1" s="3">
        <v>43.736379999999997</v>
      </c>
      <c r="D1" s="4" t="s">
        <v>1045</v>
      </c>
    </row>
    <row r="2" spans="1:5" s="5" customFormat="1" x14ac:dyDescent="0.25">
      <c r="A2" s="324" t="s">
        <v>74</v>
      </c>
      <c r="C2" s="3">
        <v>0.6775582</v>
      </c>
      <c r="D2" s="4" t="s">
        <v>1046</v>
      </c>
    </row>
    <row r="3" spans="1:5" s="5" customFormat="1" x14ac:dyDescent="0.3">
      <c r="B3" s="38"/>
      <c r="D3" s="7"/>
    </row>
    <row r="4" spans="1:5" s="10" customFormat="1" x14ac:dyDescent="0.3">
      <c r="A4" s="8" t="s">
        <v>75</v>
      </c>
      <c r="B4" s="9" t="s">
        <v>384</v>
      </c>
      <c r="C4" s="9" t="s">
        <v>77</v>
      </c>
      <c r="D4" s="115" t="s">
        <v>78</v>
      </c>
      <c r="E4" s="116" t="s">
        <v>79</v>
      </c>
    </row>
    <row r="5" spans="1:5" s="15" customFormat="1" ht="60" x14ac:dyDescent="0.25">
      <c r="A5" s="11" t="s">
        <v>80</v>
      </c>
      <c r="B5" s="12">
        <f>SUM(B6:B7)</f>
        <v>0</v>
      </c>
      <c r="C5" s="12">
        <f>SUM(C6:C7)</f>
        <v>0</v>
      </c>
      <c r="D5" s="168"/>
      <c r="E5" s="14"/>
    </row>
    <row r="6" spans="1:5" s="15" customFormat="1" ht="45" x14ac:dyDescent="0.25">
      <c r="A6" s="14" t="s">
        <v>81</v>
      </c>
      <c r="B6" s="16"/>
      <c r="C6" s="16"/>
      <c r="D6" s="13"/>
      <c r="E6" s="14"/>
    </row>
    <row r="7" spans="1:5" s="15" customFormat="1" ht="60" x14ac:dyDescent="0.25">
      <c r="A7" s="14" t="s">
        <v>84</v>
      </c>
      <c r="B7" s="17"/>
      <c r="C7" s="17"/>
      <c r="D7" s="13" t="s">
        <v>385</v>
      </c>
      <c r="E7" s="14" t="s">
        <v>277</v>
      </c>
    </row>
    <row r="8" spans="1:5" ht="30" x14ac:dyDescent="0.25">
      <c r="A8" s="11" t="s">
        <v>87</v>
      </c>
      <c r="B8" s="12">
        <f>SUM(B9:B11)</f>
        <v>25000000000</v>
      </c>
      <c r="C8" s="20">
        <f>SUM(C9:C11)</f>
        <v>51123841.464038134</v>
      </c>
      <c r="D8" s="13"/>
      <c r="E8" s="14"/>
    </row>
    <row r="9" spans="1:5" ht="69.75" customHeight="1" x14ac:dyDescent="0.25">
      <c r="A9" s="14" t="s">
        <v>88</v>
      </c>
      <c r="B9" s="16">
        <f>25*10^9</f>
        <v>25000000000</v>
      </c>
      <c r="C9" s="19">
        <f>B9/B36</f>
        <v>51123841.464038134</v>
      </c>
      <c r="D9" s="13" t="s">
        <v>386</v>
      </c>
      <c r="E9" s="14" t="s">
        <v>387</v>
      </c>
    </row>
    <row r="10" spans="1:5" ht="63" customHeight="1" x14ac:dyDescent="0.25">
      <c r="A10" s="14" t="s">
        <v>90</v>
      </c>
      <c r="B10" s="16"/>
      <c r="C10" s="16"/>
      <c r="D10" s="13" t="s">
        <v>388</v>
      </c>
      <c r="E10" s="14" t="s">
        <v>277</v>
      </c>
    </row>
    <row r="11" spans="1:5" x14ac:dyDescent="0.25">
      <c r="A11" s="14" t="s">
        <v>92</v>
      </c>
      <c r="B11" s="16"/>
      <c r="C11" s="16"/>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65"/>
      <c r="E15" s="14"/>
    </row>
    <row r="16" spans="1:5" ht="30" x14ac:dyDescent="0.25">
      <c r="A16" s="11" t="s">
        <v>98</v>
      </c>
      <c r="B16" s="12">
        <f>SUM(B17:B18)</f>
        <v>30000000000</v>
      </c>
      <c r="C16" s="12">
        <f>SUM(C17:C18)</f>
        <v>61348609.756845757</v>
      </c>
      <c r="D16" s="13"/>
      <c r="E16" s="14"/>
    </row>
    <row r="17" spans="1:5" x14ac:dyDescent="0.25">
      <c r="A17" s="13" t="s">
        <v>99</v>
      </c>
      <c r="B17" s="85"/>
      <c r="C17" s="23"/>
      <c r="D17" s="83"/>
      <c r="E17" s="14"/>
    </row>
    <row r="18" spans="1:5" ht="86.4" customHeight="1" x14ac:dyDescent="0.25">
      <c r="A18" s="13" t="s">
        <v>101</v>
      </c>
      <c r="B18" s="23">
        <f>30*10^9</f>
        <v>30000000000</v>
      </c>
      <c r="C18" s="23">
        <f>B18/B36</f>
        <v>61348609.756845757</v>
      </c>
      <c r="D18" s="13" t="s">
        <v>389</v>
      </c>
      <c r="E18" s="83" t="s">
        <v>390</v>
      </c>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B22+B24</f>
        <v>0</v>
      </c>
      <c r="C21" s="12">
        <f>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1515926772.7272716</v>
      </c>
      <c r="C26" s="12">
        <f>SUM(C27:C29)</f>
        <v>3100000</v>
      </c>
      <c r="D26" s="13"/>
      <c r="E26" s="14"/>
    </row>
    <row r="27" spans="1:5" ht="53.7" customHeight="1" x14ac:dyDescent="0.25">
      <c r="A27" s="13" t="s">
        <v>112</v>
      </c>
      <c r="B27" s="16"/>
      <c r="C27" s="16"/>
      <c r="D27" s="13"/>
      <c r="E27" s="14"/>
    </row>
    <row r="28" spans="1:5" ht="83.7" customHeight="1" x14ac:dyDescent="0.25">
      <c r="A28" s="13" t="s">
        <v>115</v>
      </c>
      <c r="B28" s="16"/>
      <c r="C28" s="16"/>
      <c r="D28" s="13" t="s">
        <v>391</v>
      </c>
      <c r="E28" s="14" t="s">
        <v>277</v>
      </c>
    </row>
    <row r="29" spans="1:5" x14ac:dyDescent="0.25">
      <c r="A29" s="13" t="s">
        <v>116</v>
      </c>
      <c r="B29" s="16">
        <f>SUM(B30:B31)</f>
        <v>1515926772.7272716</v>
      </c>
      <c r="C29" s="16">
        <f>SUM(C30:C31)</f>
        <v>3100000</v>
      </c>
      <c r="D29" s="13"/>
      <c r="E29" s="14"/>
    </row>
    <row r="30" spans="1:5" ht="38.85" customHeight="1" x14ac:dyDescent="0.25">
      <c r="A30" s="13" t="s">
        <v>117</v>
      </c>
      <c r="B30" s="19">
        <f>C30*B36</f>
        <v>48900863.636363603</v>
      </c>
      <c r="C30" s="19">
        <f>0.1*10^6</f>
        <v>100000</v>
      </c>
      <c r="D30" s="83" t="s">
        <v>392</v>
      </c>
      <c r="E30" s="24" t="s">
        <v>209</v>
      </c>
    </row>
    <row r="31" spans="1:5" ht="101.4" customHeight="1" x14ac:dyDescent="0.25">
      <c r="A31" s="13" t="s">
        <v>118</v>
      </c>
      <c r="B31" s="16">
        <f>C31*B36</f>
        <v>1467025909.0909081</v>
      </c>
      <c r="C31" s="16">
        <v>3000000</v>
      </c>
      <c r="D31" s="13" t="s">
        <v>393</v>
      </c>
      <c r="E31" s="83" t="s">
        <v>394</v>
      </c>
    </row>
    <row r="32" spans="1:5" ht="121.8" customHeight="1" x14ac:dyDescent="0.25">
      <c r="A32" s="11" t="s">
        <v>119</v>
      </c>
      <c r="B32" s="59">
        <f>(300-25-30)*10^9</f>
        <v>245000000000</v>
      </c>
      <c r="C32" s="20">
        <f>B32/B36</f>
        <v>501013646.3475737</v>
      </c>
      <c r="D32" s="13" t="s">
        <v>395</v>
      </c>
      <c r="E32" s="14" t="s">
        <v>396</v>
      </c>
    </row>
    <row r="33" spans="1:5" x14ac:dyDescent="0.25">
      <c r="A33" s="31"/>
      <c r="B33" s="120"/>
      <c r="C33" s="120"/>
      <c r="D33" s="33"/>
      <c r="E33" s="34"/>
    </row>
    <row r="34" spans="1:5" x14ac:dyDescent="0.25">
      <c r="A34" s="35" t="s">
        <v>120</v>
      </c>
      <c r="B34" s="121">
        <f>(SUM(B5,B8,B12,B15,B16,B32))</f>
        <v>300000000000</v>
      </c>
      <c r="C34" s="132">
        <f>(SUM(C5,C8,C12,C15,C16,C32))</f>
        <v>613486097.5684576</v>
      </c>
      <c r="D34" s="70" t="s">
        <v>154</v>
      </c>
    </row>
    <row r="35" spans="1:5" x14ac:dyDescent="0.25">
      <c r="A35" s="31"/>
      <c r="B35" s="39"/>
      <c r="C35" s="40"/>
      <c r="D35" s="33"/>
    </row>
    <row r="36" spans="1:5" x14ac:dyDescent="0.25">
      <c r="A36" s="31" t="s">
        <v>121</v>
      </c>
      <c r="B36" s="88">
        <v>489.00863636363601</v>
      </c>
      <c r="C36" s="42"/>
    </row>
    <row r="37" spans="1:5" x14ac:dyDescent="0.25">
      <c r="A37" s="43" t="s">
        <v>122</v>
      </c>
      <c r="B37" s="45">
        <v>6541000000000</v>
      </c>
      <c r="C37" s="45">
        <v>13444000000</v>
      </c>
    </row>
    <row r="38" spans="1:5" x14ac:dyDescent="0.25">
      <c r="A38" s="43" t="s">
        <v>123</v>
      </c>
      <c r="B38" s="45">
        <v>2951776</v>
      </c>
      <c r="C38" s="45"/>
    </row>
    <row r="39" spans="1:5" x14ac:dyDescent="0.25">
      <c r="A39" s="43"/>
      <c r="B39" s="44"/>
      <c r="C39" s="44"/>
    </row>
    <row r="40" spans="1:5" x14ac:dyDescent="0.25">
      <c r="A40" s="5"/>
      <c r="B40" s="46" t="s">
        <v>397</v>
      </c>
      <c r="C40" s="47" t="s">
        <v>125</v>
      </c>
    </row>
    <row r="41" spans="1:5" x14ac:dyDescent="0.25">
      <c r="A41" s="43" t="s">
        <v>126</v>
      </c>
      <c r="B41" s="48">
        <f>$B37/$B$38</f>
        <v>2215954.0561343408</v>
      </c>
      <c r="C41" s="48">
        <f>$C37/$B$38</f>
        <v>4554.5461444228831</v>
      </c>
    </row>
    <row r="42" spans="1:5" x14ac:dyDescent="0.25">
      <c r="A42" s="43" t="s">
        <v>127</v>
      </c>
      <c r="B42" s="49">
        <f>($B34/$B37)*100</f>
        <v>4.5864546705396725</v>
      </c>
      <c r="C42" s="49"/>
    </row>
    <row r="43" spans="1:5" x14ac:dyDescent="0.25">
      <c r="A43" s="43" t="s">
        <v>128</v>
      </c>
      <c r="B43" s="50">
        <f>$B34/$B$38</f>
        <v>101633.7283045868</v>
      </c>
      <c r="C43" s="50">
        <f>$C34/$B$38</f>
        <v>207.83626452971282</v>
      </c>
    </row>
    <row r="44" spans="1:5" x14ac:dyDescent="0.25">
      <c r="A44" s="43"/>
      <c r="B44" s="50"/>
      <c r="C44" s="50"/>
    </row>
    <row r="45" spans="1:5" x14ac:dyDescent="0.25">
      <c r="A45" s="336" t="s">
        <v>1057</v>
      </c>
      <c r="B45" s="50"/>
      <c r="C45" s="50"/>
    </row>
    <row r="46" spans="1:5" x14ac:dyDescent="0.25">
      <c r="A46" s="336"/>
      <c r="B46" s="50"/>
      <c r="C46" s="50"/>
    </row>
    <row r="47" spans="1:5" x14ac:dyDescent="0.25">
      <c r="A47" s="43"/>
      <c r="B47" s="51"/>
    </row>
    <row r="48" spans="1:5" x14ac:dyDescent="0.25">
      <c r="A48" s="43" t="s">
        <v>129</v>
      </c>
    </row>
    <row r="49" spans="1:5" ht="15.6" customHeight="1" x14ac:dyDescent="0.25">
      <c r="A49" s="133" t="s">
        <v>306</v>
      </c>
      <c r="B49" s="53"/>
      <c r="C49" s="53"/>
      <c r="D49" s="53"/>
      <c r="E49" s="53"/>
    </row>
    <row r="50" spans="1:5" ht="15.6" customHeight="1" x14ac:dyDescent="0.25">
      <c r="A50" s="52"/>
      <c r="B50" s="53"/>
      <c r="C50" s="53"/>
      <c r="D50" s="53"/>
      <c r="E50" s="53"/>
    </row>
    <row r="51" spans="1:5" ht="15.6" customHeight="1" x14ac:dyDescent="0.25">
      <c r="A51" s="52"/>
      <c r="B51" s="53"/>
      <c r="C51" s="53"/>
      <c r="D51" s="53"/>
      <c r="E51" s="53"/>
    </row>
    <row r="52" spans="1:5" x14ac:dyDescent="0.25">
      <c r="A52" s="43" t="s">
        <v>131</v>
      </c>
    </row>
    <row r="53" spans="1:5" s="38" customFormat="1" ht="34.950000000000003" customHeight="1" x14ac:dyDescent="0.3">
      <c r="A53" s="372" t="s">
        <v>398</v>
      </c>
      <c r="B53" s="365"/>
      <c r="C53" s="365"/>
      <c r="D53" s="365"/>
      <c r="E53" s="365"/>
    </row>
    <row r="54" spans="1:5" s="38" customFormat="1" x14ac:dyDescent="0.25">
      <c r="A54" s="18" t="s">
        <v>292</v>
      </c>
      <c r="B54" s="37"/>
      <c r="C54" s="147"/>
      <c r="D54" s="70"/>
      <c r="E54" s="70"/>
    </row>
    <row r="55" spans="1:5" s="38" customFormat="1" x14ac:dyDescent="0.25">
      <c r="A55" s="37"/>
      <c r="B55" s="37"/>
      <c r="C55" s="147"/>
      <c r="D55" s="70"/>
      <c r="E55" s="70"/>
    </row>
    <row r="56" spans="1:5" s="38" customFormat="1" x14ac:dyDescent="0.3">
      <c r="A56" s="34"/>
      <c r="B56" s="34"/>
      <c r="C56" s="34"/>
      <c r="D56" s="34"/>
      <c r="E56" s="34"/>
    </row>
    <row r="57" spans="1:5" s="38" customFormat="1" x14ac:dyDescent="0.3">
      <c r="A57" s="364" t="s">
        <v>1060</v>
      </c>
      <c r="B57" s="364"/>
      <c r="C57" s="364"/>
      <c r="D57" s="364"/>
      <c r="E57" s="364"/>
    </row>
    <row r="58" spans="1:5" x14ac:dyDescent="0.25">
      <c r="A58" s="364"/>
      <c r="B58" s="364"/>
      <c r="C58" s="364"/>
      <c r="D58" s="364"/>
      <c r="E58" s="364"/>
    </row>
  </sheetData>
  <sheetProtection algorithmName="SHA-512" hashValue="ze86B/xLipnqzoiiYHkTL0Rg3bvP7n3ork4U0OreMVIncMNLL5xdNQE/UkfnQeNJRhKYJcE/M/fu0qMzYh31sw==" saltValue="z0QXUQgWxWNwyCwRjiGuvA==" spinCount="100000" sheet="1" formatCells="0" formatColumns="0" formatRows="0" insertColumns="0" insertRows="0" insertHyperlinks="0" deleteColumns="0" deleteRows="0" sort="0" autoFilter="0" pivotTables="0"/>
  <mergeCells count="2">
    <mergeCell ref="A53:E53"/>
    <mergeCell ref="A57:E58"/>
  </mergeCells>
  <hyperlinks>
    <hyperlink ref="A2" location="Index!E23" display="[Back to Index]" xr:uid="{73D8F5A1-C01F-4223-A2F2-465F42A0F92E}"/>
  </hyperlinks>
  <pageMargins left="0.7" right="0.7" top="0.75" bottom="0.75" header="0.3" footer="0.3"/>
  <pageSetup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9AD5A-F919-48C8-947F-66D0CB360AC0}">
  <sheetPr codeName="Sheet29">
    <tabColor rgb="FFFFD1FF"/>
  </sheetPr>
  <dimension ref="A1:E64"/>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2" width="27.44140625" style="134" customWidth="1"/>
    <col min="3" max="3" width="27.5546875" style="134" customWidth="1"/>
    <col min="4" max="4" width="95.5546875" style="70" customWidth="1"/>
    <col min="5" max="5" width="40.5546875" style="34" customWidth="1"/>
    <col min="6" max="16384" width="8.6640625" style="18"/>
  </cols>
  <sheetData>
    <row r="1" spans="1:5" s="5" customFormat="1" ht="17.399999999999999" x14ac:dyDescent="0.25">
      <c r="A1" s="112" t="s">
        <v>9</v>
      </c>
      <c r="B1" s="2" t="s">
        <v>73</v>
      </c>
      <c r="C1" s="3">
        <v>13.80963</v>
      </c>
      <c r="D1" s="4" t="s">
        <v>1045</v>
      </c>
      <c r="E1" s="126"/>
    </row>
    <row r="2" spans="1:5" s="5" customFormat="1" x14ac:dyDescent="0.25">
      <c r="A2" s="324" t="s">
        <v>74</v>
      </c>
      <c r="C2" s="3">
        <v>0.18104400000000001</v>
      </c>
      <c r="D2" s="4" t="s">
        <v>1046</v>
      </c>
      <c r="E2" s="126"/>
    </row>
    <row r="3" spans="1:5" x14ac:dyDescent="0.25">
      <c r="A3" s="154"/>
      <c r="B3" s="155"/>
      <c r="C3" s="156"/>
    </row>
    <row r="4" spans="1:5" s="10" customFormat="1" x14ac:dyDescent="0.3">
      <c r="A4" s="8" t="s">
        <v>75</v>
      </c>
      <c r="B4" s="157" t="s">
        <v>399</v>
      </c>
      <c r="C4" s="157" t="s">
        <v>77</v>
      </c>
      <c r="D4" s="115" t="s">
        <v>400</v>
      </c>
      <c r="E4" s="116" t="s">
        <v>401</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45" x14ac:dyDescent="0.25">
      <c r="A7" s="14" t="s">
        <v>84</v>
      </c>
      <c r="B7" s="17"/>
      <c r="C7" s="17"/>
      <c r="D7" s="13"/>
      <c r="E7" s="13"/>
    </row>
    <row r="8" spans="1:5" ht="30" x14ac:dyDescent="0.25">
      <c r="A8" s="11" t="s">
        <v>87</v>
      </c>
      <c r="B8" s="20">
        <f>SUM(B9:B11)</f>
        <v>500000000</v>
      </c>
      <c r="C8" s="20">
        <f>SUM(C9:C11)</f>
        <v>294117647.05882353</v>
      </c>
      <c r="D8" s="13"/>
      <c r="E8" s="14"/>
    </row>
    <row r="9" spans="1:5" ht="60" x14ac:dyDescent="0.25">
      <c r="A9" s="14" t="s">
        <v>88</v>
      </c>
      <c r="B9" s="16"/>
      <c r="C9" s="16"/>
      <c r="D9" s="13"/>
      <c r="E9" s="14"/>
    </row>
    <row r="10" spans="1:5" ht="83.7" customHeight="1" x14ac:dyDescent="0.25">
      <c r="A10" s="14" t="s">
        <v>90</v>
      </c>
      <c r="B10" s="16"/>
      <c r="C10" s="16"/>
      <c r="D10" s="24" t="s">
        <v>402</v>
      </c>
      <c r="E10" s="14" t="s">
        <v>277</v>
      </c>
    </row>
    <row r="11" spans="1:5" ht="94.2" customHeight="1" x14ac:dyDescent="0.25">
      <c r="A11" s="14" t="s">
        <v>92</v>
      </c>
      <c r="B11" s="16">
        <f>500*10^6</f>
        <v>500000000</v>
      </c>
      <c r="C11" s="16">
        <f>B11/$B$36</f>
        <v>294117647.05882353</v>
      </c>
      <c r="D11" s="13" t="s">
        <v>403</v>
      </c>
      <c r="E11" s="83" t="s">
        <v>404</v>
      </c>
    </row>
    <row r="12" spans="1:5" ht="35.4" customHeight="1" x14ac:dyDescent="0.25">
      <c r="A12" s="11" t="s">
        <v>93</v>
      </c>
      <c r="B12" s="12">
        <f>SUM(B13:B14)</f>
        <v>0</v>
      </c>
      <c r="C12" s="12">
        <f>SUM(C13:C14)</f>
        <v>0</v>
      </c>
      <c r="D12" s="13"/>
      <c r="E12" s="117"/>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30" x14ac:dyDescent="0.25">
      <c r="A16" s="11" t="s">
        <v>98</v>
      </c>
      <c r="B16" s="20">
        <f>SUM(B17:B18)</f>
        <v>1008500000</v>
      </c>
      <c r="C16" s="20">
        <f>SUM(C17:C18)</f>
        <v>593235294.11764705</v>
      </c>
      <c r="D16" s="13"/>
      <c r="E16" s="14"/>
    </row>
    <row r="17" spans="1:5" ht="98.4" customHeight="1" x14ac:dyDescent="0.25">
      <c r="A17" s="13" t="s">
        <v>99</v>
      </c>
      <c r="B17" s="23">
        <f>C17*B36</f>
        <v>8500000</v>
      </c>
      <c r="C17" s="23">
        <v>5000000</v>
      </c>
      <c r="D17" s="14" t="s">
        <v>405</v>
      </c>
      <c r="E17" s="83" t="s">
        <v>406</v>
      </c>
    </row>
    <row r="18" spans="1:5" ht="176.7" customHeight="1" x14ac:dyDescent="0.25">
      <c r="A18" s="13" t="s">
        <v>101</v>
      </c>
      <c r="B18" s="23">
        <f>1*10^9</f>
        <v>1000000000</v>
      </c>
      <c r="C18" s="16">
        <f>B18/$B$36</f>
        <v>588235294.11764705</v>
      </c>
      <c r="D18" s="58" t="s">
        <v>407</v>
      </c>
      <c r="E18" s="83" t="s">
        <v>404</v>
      </c>
    </row>
    <row r="19" spans="1:5" ht="30" x14ac:dyDescent="0.25">
      <c r="A19" s="11" t="s">
        <v>103</v>
      </c>
      <c r="B19" s="12"/>
      <c r="C19" s="12"/>
      <c r="D19" s="13"/>
      <c r="E19" s="14"/>
    </row>
    <row r="20" spans="1:5" x14ac:dyDescent="0.25">
      <c r="A20" s="14" t="s">
        <v>104</v>
      </c>
      <c r="B20" s="16"/>
      <c r="C20" s="16"/>
      <c r="D20" s="13"/>
      <c r="E20" s="14"/>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ht="71.400000000000006" customHeight="1" x14ac:dyDescent="0.25">
      <c r="A28" s="13" t="s">
        <v>115</v>
      </c>
      <c r="B28" s="16"/>
      <c r="C28" s="16"/>
      <c r="D28" s="13" t="s">
        <v>408</v>
      </c>
      <c r="E28" s="14" t="s">
        <v>277</v>
      </c>
    </row>
    <row r="29" spans="1:5" x14ac:dyDescent="0.25">
      <c r="A29" s="13" t="s">
        <v>116</v>
      </c>
      <c r="B29" s="16">
        <f>SUM(B30:B31)</f>
        <v>0</v>
      </c>
      <c r="C29" s="16">
        <f>SUM(C30:C31)</f>
        <v>0</v>
      </c>
      <c r="D29" s="13"/>
      <c r="E29" s="14"/>
    </row>
    <row r="30" spans="1:5" x14ac:dyDescent="0.25">
      <c r="A30" s="13" t="s">
        <v>117</v>
      </c>
      <c r="B30" s="16"/>
      <c r="C30" s="16"/>
      <c r="D30" s="83"/>
      <c r="E30" s="24"/>
    </row>
    <row r="31" spans="1:5" ht="100.2" customHeight="1" x14ac:dyDescent="0.25">
      <c r="A31" s="13" t="s">
        <v>118</v>
      </c>
      <c r="B31" s="16"/>
      <c r="C31" s="16"/>
      <c r="D31" s="13" t="s">
        <v>409</v>
      </c>
      <c r="E31" s="83" t="s">
        <v>406</v>
      </c>
    </row>
    <row r="32" spans="1:5" ht="96.9" customHeight="1" x14ac:dyDescent="0.25">
      <c r="A32" s="11" t="s">
        <v>119</v>
      </c>
      <c r="B32" s="170">
        <f>1*10^9</f>
        <v>1000000000</v>
      </c>
      <c r="C32" s="20">
        <f>B32/$B$36</f>
        <v>588235294.11764705</v>
      </c>
      <c r="D32" s="13" t="s">
        <v>410</v>
      </c>
      <c r="E32" s="171" t="s">
        <v>404</v>
      </c>
    </row>
    <row r="33" spans="1:4" x14ac:dyDescent="0.25">
      <c r="A33" s="31"/>
      <c r="B33" s="120"/>
      <c r="C33" s="120"/>
      <c r="D33" s="33"/>
    </row>
    <row r="34" spans="1:4" x14ac:dyDescent="0.25">
      <c r="A34" s="35" t="s">
        <v>120</v>
      </c>
      <c r="B34" s="121">
        <f>SUM(B5,B8,B12,B15,B16)+B32</f>
        <v>2508500000</v>
      </c>
      <c r="C34" s="121">
        <f>SUM(C5,C8,C12,C15,C16)+C32</f>
        <v>1475588235.2941175</v>
      </c>
      <c r="D34" s="70" t="s">
        <v>154</v>
      </c>
    </row>
    <row r="35" spans="1:4" x14ac:dyDescent="0.25">
      <c r="A35" s="31"/>
      <c r="B35" s="121"/>
      <c r="C35" s="121"/>
    </row>
    <row r="36" spans="1:4" x14ac:dyDescent="0.25">
      <c r="A36" s="31" t="s">
        <v>121</v>
      </c>
      <c r="B36" s="172">
        <v>1.7</v>
      </c>
      <c r="C36" s="158"/>
      <c r="D36" s="79"/>
    </row>
    <row r="37" spans="1:4" x14ac:dyDescent="0.25">
      <c r="A37" s="43" t="s">
        <v>122</v>
      </c>
      <c r="B37" s="158">
        <v>80191000000</v>
      </c>
      <c r="C37" s="158">
        <v>47171000000</v>
      </c>
    </row>
    <row r="38" spans="1:4" x14ac:dyDescent="0.25">
      <c r="A38" s="43" t="s">
        <v>123</v>
      </c>
      <c r="B38" s="158">
        <v>9942334</v>
      </c>
      <c r="C38" s="158"/>
    </row>
    <row r="39" spans="1:4" x14ac:dyDescent="0.25">
      <c r="A39" s="43"/>
      <c r="B39" s="159"/>
      <c r="C39" s="159"/>
    </row>
    <row r="40" spans="1:4" x14ac:dyDescent="0.25">
      <c r="A40" s="5"/>
      <c r="B40" s="160" t="s">
        <v>411</v>
      </c>
      <c r="C40" s="160" t="s">
        <v>125</v>
      </c>
    </row>
    <row r="41" spans="1:4" x14ac:dyDescent="0.25">
      <c r="A41" s="43" t="s">
        <v>126</v>
      </c>
      <c r="B41" s="48">
        <f>$B37/$B$38</f>
        <v>8065.6111532764844</v>
      </c>
      <c r="C41" s="48">
        <f>$C37/$B$38</f>
        <v>4744.4593995735813</v>
      </c>
    </row>
    <row r="42" spans="1:4" x14ac:dyDescent="0.25">
      <c r="A42" s="43" t="s">
        <v>127</v>
      </c>
      <c r="B42" s="49">
        <f>($B34/$B37)*100</f>
        <v>3.1281565262934743</v>
      </c>
      <c r="C42" s="49"/>
    </row>
    <row r="43" spans="1:4" x14ac:dyDescent="0.25">
      <c r="A43" s="43" t="s">
        <v>128</v>
      </c>
      <c r="B43" s="50">
        <f>$B34/$B$38</f>
        <v>252.30494167667271</v>
      </c>
      <c r="C43" s="50">
        <f>$C34/$B$38</f>
        <v>148.41467157451333</v>
      </c>
    </row>
    <row r="44" spans="1:4" x14ac:dyDescent="0.25">
      <c r="A44" s="43"/>
    </row>
    <row r="45" spans="1:4" x14ac:dyDescent="0.25">
      <c r="A45" s="336" t="s">
        <v>1057</v>
      </c>
    </row>
    <row r="46" spans="1:4" x14ac:dyDescent="0.25">
      <c r="A46" s="336"/>
    </row>
    <row r="47" spans="1:4" x14ac:dyDescent="0.25">
      <c r="A47" s="43"/>
    </row>
    <row r="48" spans="1:4" x14ac:dyDescent="0.25">
      <c r="A48" s="43" t="s">
        <v>129</v>
      </c>
    </row>
    <row r="49" spans="1:5" ht="51" customHeight="1" x14ac:dyDescent="0.25">
      <c r="A49" s="364" t="s">
        <v>412</v>
      </c>
      <c r="B49" s="364"/>
      <c r="C49" s="364"/>
      <c r="D49" s="364"/>
      <c r="E49" s="364"/>
    </row>
    <row r="50" spans="1:5" ht="18.3" customHeight="1" x14ac:dyDescent="0.25">
      <c r="A50" s="372" t="s">
        <v>413</v>
      </c>
      <c r="B50" s="365"/>
      <c r="C50" s="365"/>
      <c r="D50" s="365"/>
      <c r="E50" s="365"/>
    </row>
    <row r="51" spans="1:5" ht="30.45" customHeight="1" x14ac:dyDescent="0.25">
      <c r="A51" s="369" t="s">
        <v>414</v>
      </c>
      <c r="B51" s="369"/>
      <c r="C51" s="369"/>
      <c r="D51" s="369"/>
      <c r="E51" s="369"/>
    </row>
    <row r="52" spans="1:5" ht="15.6" customHeight="1" x14ac:dyDescent="0.25">
      <c r="A52" s="53"/>
      <c r="B52" s="161"/>
      <c r="C52" s="161"/>
      <c r="D52" s="53"/>
      <c r="E52" s="53"/>
    </row>
    <row r="54" spans="1:5" x14ac:dyDescent="0.25">
      <c r="A54" s="43" t="s">
        <v>131</v>
      </c>
    </row>
    <row r="55" spans="1:5" s="38" customFormat="1" ht="33.75" customHeight="1" x14ac:dyDescent="0.3">
      <c r="A55" s="373" t="s">
        <v>415</v>
      </c>
      <c r="B55" s="373"/>
      <c r="C55" s="373"/>
      <c r="D55" s="373"/>
      <c r="E55" s="373"/>
    </row>
    <row r="56" spans="1:5" s="38" customFormat="1" x14ac:dyDescent="0.25">
      <c r="A56" s="137" t="s">
        <v>416</v>
      </c>
      <c r="B56" s="162"/>
      <c r="C56" s="163"/>
      <c r="D56" s="70"/>
      <c r="E56" s="33"/>
    </row>
    <row r="57" spans="1:5" s="38" customFormat="1" x14ac:dyDescent="0.25">
      <c r="A57" s="37" t="s">
        <v>292</v>
      </c>
      <c r="B57" s="164"/>
      <c r="C57" s="164"/>
      <c r="D57" s="34"/>
      <c r="E57" s="34"/>
    </row>
    <row r="58" spans="1:5" s="38" customFormat="1" x14ac:dyDescent="0.3">
      <c r="A58" s="5"/>
      <c r="B58" s="134"/>
      <c r="C58" s="134"/>
      <c r="D58" s="70"/>
      <c r="E58" s="34"/>
    </row>
    <row r="59" spans="1:5" s="38" customFormat="1" x14ac:dyDescent="0.3">
      <c r="B59" s="134"/>
      <c r="C59" s="134"/>
      <c r="D59" s="70"/>
      <c r="E59" s="34"/>
    </row>
    <row r="60" spans="1:5" s="38" customFormat="1" x14ac:dyDescent="0.3">
      <c r="A60" s="364" t="s">
        <v>1060</v>
      </c>
      <c r="B60" s="364"/>
      <c r="C60" s="364"/>
      <c r="D60" s="364"/>
      <c r="E60" s="364"/>
    </row>
    <row r="61" spans="1:5" x14ac:dyDescent="0.25">
      <c r="A61" s="364"/>
      <c r="B61" s="364"/>
      <c r="C61" s="364"/>
      <c r="D61" s="364"/>
      <c r="E61" s="364"/>
    </row>
    <row r="62" spans="1:5" x14ac:dyDescent="0.25">
      <c r="A62" s="136"/>
    </row>
    <row r="64" spans="1:5" x14ac:dyDescent="0.25">
      <c r="A64" s="136"/>
    </row>
  </sheetData>
  <sheetProtection algorithmName="SHA-512" hashValue="xkHoN3NDmq3Wdso/UnQkr7Zphxc6a7KZNIGuOpYiAGtD9EzmVA/ePOnXrPEAT7IWWcRUEw7kxexK5tuPniskPw==" saltValue="lZuB40pPh5u0LxNLUlx1lA==" spinCount="100000" sheet="1" formatCells="0" formatColumns="0" formatRows="0" insertColumns="0" insertRows="0" insertHyperlinks="0" deleteColumns="0" deleteRows="0" sort="0" autoFilter="0" pivotTables="0"/>
  <mergeCells count="5">
    <mergeCell ref="A49:E49"/>
    <mergeCell ref="A50:E50"/>
    <mergeCell ref="A51:E51"/>
    <mergeCell ref="A55:E55"/>
    <mergeCell ref="A60:E61"/>
  </mergeCells>
  <hyperlinks>
    <hyperlink ref="A56" r:id="rId1" display="https://president.az/articles/36228" xr:uid="{EA2E6073-2076-4A5A-B1D7-A9ACDCBFA6E2}"/>
    <hyperlink ref="A2" location="Index!E24" display="[Back to Index]" xr:uid="{4B656614-096D-4049-B7B5-BA1E9B979A53}"/>
  </hyperlink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BFA96-13E0-4904-8C63-FCE9CBAE6AD9}">
  <sheetPr codeName="Sheet3">
    <tabColor theme="7" tint="0.79998168889431442"/>
  </sheetPr>
  <dimension ref="A1:E61"/>
  <sheetViews>
    <sheetView zoomScaleNormal="100" workbookViewId="0">
      <pane xSplit="1" ySplit="4" topLeftCell="B26"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5</v>
      </c>
      <c r="B1" s="2" t="s">
        <v>73</v>
      </c>
      <c r="C1" s="80">
        <v>0.75077859999999996</v>
      </c>
      <c r="D1" s="4" t="s">
        <v>1045</v>
      </c>
    </row>
    <row r="2" spans="1:5" s="5" customFormat="1" x14ac:dyDescent="0.25">
      <c r="A2" s="324" t="s">
        <v>74</v>
      </c>
      <c r="C2" s="80">
        <v>0</v>
      </c>
      <c r="D2" s="4" t="s">
        <v>1046</v>
      </c>
    </row>
    <row r="3" spans="1:5" s="5" customFormat="1" x14ac:dyDescent="0.25">
      <c r="A3" s="6"/>
      <c r="D3" s="7"/>
    </row>
    <row r="4" spans="1:5" s="10" customFormat="1" x14ac:dyDescent="0.3">
      <c r="A4" s="8" t="s">
        <v>75</v>
      </c>
      <c r="B4" s="9" t="s">
        <v>183</v>
      </c>
      <c r="C4" s="9" t="s">
        <v>77</v>
      </c>
      <c r="D4" s="9" t="s">
        <v>78</v>
      </c>
      <c r="E4" s="8" t="s">
        <v>79</v>
      </c>
    </row>
    <row r="5" spans="1:5" s="15" customFormat="1" ht="60" x14ac:dyDescent="0.25">
      <c r="A5" s="11" t="s">
        <v>80</v>
      </c>
      <c r="B5" s="12">
        <f>SUM(B6:B7)</f>
        <v>0</v>
      </c>
      <c r="C5" s="12">
        <f>SUM(C6:C7)</f>
        <v>0</v>
      </c>
      <c r="D5" s="13"/>
      <c r="E5" s="14"/>
    </row>
    <row r="6" spans="1:5" s="15" customFormat="1" ht="60" x14ac:dyDescent="0.25">
      <c r="A6" s="14" t="s">
        <v>81</v>
      </c>
      <c r="B6" s="16"/>
      <c r="C6" s="16"/>
      <c r="D6" s="13" t="s">
        <v>184</v>
      </c>
      <c r="E6" s="14" t="s">
        <v>185</v>
      </c>
    </row>
    <row r="7" spans="1:5" s="15" customFormat="1" ht="90" x14ac:dyDescent="0.25">
      <c r="A7" s="14" t="s">
        <v>84</v>
      </c>
      <c r="B7" s="17"/>
      <c r="C7" s="17"/>
      <c r="D7" s="13" t="s">
        <v>186</v>
      </c>
      <c r="E7" s="14" t="s">
        <v>185</v>
      </c>
    </row>
    <row r="8" spans="1:5" ht="30" x14ac:dyDescent="0.25">
      <c r="A8" s="11" t="s">
        <v>87</v>
      </c>
      <c r="B8" s="12">
        <f>SUM(B9:B11)</f>
        <v>0</v>
      </c>
      <c r="C8" s="12">
        <f>SUM(C9:C11)</f>
        <v>0</v>
      </c>
      <c r="D8" s="13"/>
      <c r="E8" s="14"/>
    </row>
    <row r="9" spans="1:5" ht="60" x14ac:dyDescent="0.25">
      <c r="A9" s="14" t="s">
        <v>88</v>
      </c>
      <c r="B9" s="16"/>
      <c r="C9" s="16"/>
      <c r="D9" s="13"/>
      <c r="E9" s="14"/>
    </row>
    <row r="10" spans="1:5" ht="75" x14ac:dyDescent="0.25">
      <c r="A10" s="14" t="s">
        <v>90</v>
      </c>
      <c r="B10" s="16"/>
      <c r="C10" s="16"/>
      <c r="D10" s="13" t="s">
        <v>187</v>
      </c>
      <c r="E10" s="14" t="s">
        <v>185</v>
      </c>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30" x14ac:dyDescent="0.25">
      <c r="A16" s="11" t="s">
        <v>98</v>
      </c>
      <c r="B16" s="12">
        <f>SUM(B17:B18)</f>
        <v>283904090908.89996</v>
      </c>
      <c r="C16" s="12">
        <f>SUM(C17:C18)</f>
        <v>70000000</v>
      </c>
      <c r="D16" s="13"/>
      <c r="E16" s="14"/>
    </row>
    <row r="17" spans="1:5" ht="60" x14ac:dyDescent="0.25">
      <c r="A17" s="13" t="s">
        <v>99</v>
      </c>
      <c r="B17" s="81">
        <f>C17*$B$36</f>
        <v>283904090908.89996</v>
      </c>
      <c r="C17" s="81">
        <v>70000000</v>
      </c>
      <c r="D17" s="14" t="s">
        <v>188</v>
      </c>
      <c r="E17" s="14" t="s">
        <v>185</v>
      </c>
    </row>
    <row r="18" spans="1:5" ht="60" x14ac:dyDescent="0.25">
      <c r="A18" s="13" t="s">
        <v>101</v>
      </c>
      <c r="B18" s="23"/>
      <c r="C18" s="23"/>
      <c r="D18" s="82" t="s">
        <v>189</v>
      </c>
      <c r="E18" s="14" t="s">
        <v>185</v>
      </c>
    </row>
    <row r="19" spans="1:5" ht="85.95" customHeight="1" x14ac:dyDescent="0.25">
      <c r="A19" s="11" t="s">
        <v>103</v>
      </c>
      <c r="B19" s="12"/>
      <c r="C19" s="12"/>
      <c r="D19" s="13" t="s">
        <v>190</v>
      </c>
      <c r="E19" s="14" t="s">
        <v>185</v>
      </c>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137896272727.17999</v>
      </c>
      <c r="C26" s="12">
        <f>SUM(C27:C29)</f>
        <v>34000000</v>
      </c>
      <c r="D26" s="13"/>
      <c r="E26" s="14"/>
    </row>
    <row r="27" spans="1:5" x14ac:dyDescent="0.25">
      <c r="A27" s="13" t="s">
        <v>112</v>
      </c>
      <c r="B27" s="16"/>
      <c r="C27" s="16"/>
      <c r="D27" s="13"/>
      <c r="E27" s="14"/>
    </row>
    <row r="28" spans="1:5" ht="60" x14ac:dyDescent="0.25">
      <c r="A28" s="13" t="s">
        <v>115</v>
      </c>
      <c r="B28" s="16"/>
      <c r="C28" s="16"/>
      <c r="D28" s="13" t="s">
        <v>191</v>
      </c>
      <c r="E28" s="14" t="s">
        <v>185</v>
      </c>
    </row>
    <row r="29" spans="1:5" x14ac:dyDescent="0.25">
      <c r="A29" s="13" t="s">
        <v>116</v>
      </c>
      <c r="B29" s="19">
        <f>SUM(B30:B31)</f>
        <v>137896272727.17999</v>
      </c>
      <c r="C29" s="19">
        <f>SUM(C30:C31)</f>
        <v>34000000</v>
      </c>
      <c r="D29" s="13"/>
      <c r="E29" s="14"/>
    </row>
    <row r="30" spans="1:5" x14ac:dyDescent="0.25">
      <c r="A30" s="13" t="s">
        <v>117</v>
      </c>
      <c r="B30" s="19"/>
      <c r="C30" s="19"/>
      <c r="D30" s="83"/>
      <c r="E30" s="24"/>
    </row>
    <row r="31" spans="1:5" ht="90" x14ac:dyDescent="0.25">
      <c r="A31" s="13" t="s">
        <v>118</v>
      </c>
      <c r="B31" s="19">
        <f>C31*$B$36</f>
        <v>137896272727.17999</v>
      </c>
      <c r="C31" s="19">
        <f>(20+14)*10^6</f>
        <v>34000000</v>
      </c>
      <c r="D31" s="13" t="s">
        <v>192</v>
      </c>
      <c r="E31" s="14" t="s">
        <v>193</v>
      </c>
    </row>
    <row r="32" spans="1:5" ht="105" x14ac:dyDescent="0.25">
      <c r="A32" s="11" t="s">
        <v>119</v>
      </c>
      <c r="B32" s="12">
        <f>C32*$B$36</f>
        <v>8111545454540</v>
      </c>
      <c r="C32" s="12">
        <f>2*10^9</f>
        <v>2000000000</v>
      </c>
      <c r="D32" s="13" t="s">
        <v>194</v>
      </c>
      <c r="E32" s="14" t="s">
        <v>195</v>
      </c>
    </row>
    <row r="33" spans="1:5" x14ac:dyDescent="0.25">
      <c r="A33" s="31"/>
      <c r="B33" s="32"/>
      <c r="C33" s="32"/>
      <c r="D33" s="33"/>
      <c r="E33" s="34"/>
    </row>
    <row r="34" spans="1:5" x14ac:dyDescent="0.25">
      <c r="A34" s="35" t="s">
        <v>120</v>
      </c>
      <c r="B34" s="36">
        <f>SUM(B5,B8,B12,B15,B16,B32)</f>
        <v>8395449545448.9004</v>
      </c>
      <c r="C34" s="36">
        <f>SUM(C5,C8,C12,C15,C16,C32)</f>
        <v>2070000000</v>
      </c>
      <c r="D34" s="37" t="s">
        <v>154</v>
      </c>
    </row>
    <row r="35" spans="1:5" x14ac:dyDescent="0.25">
      <c r="A35" s="35"/>
      <c r="B35" s="39"/>
      <c r="C35" s="40"/>
    </row>
    <row r="36" spans="1:5" x14ac:dyDescent="0.25">
      <c r="A36" s="35" t="s">
        <v>121</v>
      </c>
      <c r="B36" s="41">
        <v>4055.7727272699999</v>
      </c>
      <c r="C36" s="42"/>
    </row>
    <row r="37" spans="1:5" x14ac:dyDescent="0.25">
      <c r="A37" s="43" t="s">
        <v>122</v>
      </c>
      <c r="B37" s="45">
        <v>108396900000000</v>
      </c>
      <c r="C37" s="45">
        <v>26730000000</v>
      </c>
    </row>
    <row r="38" spans="1:5" x14ac:dyDescent="0.25">
      <c r="A38" s="43" t="s">
        <v>123</v>
      </c>
      <c r="B38" s="45">
        <v>16249798</v>
      </c>
      <c r="C38" s="45"/>
    </row>
    <row r="39" spans="1:5" x14ac:dyDescent="0.25">
      <c r="A39" s="43"/>
      <c r="B39" s="44"/>
      <c r="C39" s="44"/>
    </row>
    <row r="40" spans="1:5" x14ac:dyDescent="0.25">
      <c r="A40" s="5"/>
      <c r="B40" s="46" t="s">
        <v>196</v>
      </c>
      <c r="C40" s="47" t="s">
        <v>125</v>
      </c>
    </row>
    <row r="41" spans="1:5" x14ac:dyDescent="0.25">
      <c r="A41" s="43" t="s">
        <v>126</v>
      </c>
      <c r="B41" s="48">
        <f>$B37/$B$38</f>
        <v>6670661.38299073</v>
      </c>
      <c r="C41" s="48">
        <f>$C37/$B$38</f>
        <v>1644.9435248364318</v>
      </c>
    </row>
    <row r="42" spans="1:5" x14ac:dyDescent="0.25">
      <c r="A42" s="43" t="s">
        <v>127</v>
      </c>
      <c r="B42" s="49">
        <f>($B34/$B37)*100</f>
        <v>7.7451011472181408</v>
      </c>
      <c r="C42" s="49"/>
    </row>
    <row r="43" spans="1:5" x14ac:dyDescent="0.25">
      <c r="A43" s="43" t="s">
        <v>128</v>
      </c>
      <c r="B43" s="50">
        <f>$B34/$B$38</f>
        <v>516649.47130105249</v>
      </c>
      <c r="C43" s="50">
        <f>$C34/$B$38</f>
        <v>127.38619889305701</v>
      </c>
    </row>
    <row r="44" spans="1:5" x14ac:dyDescent="0.25">
      <c r="A44" s="43"/>
      <c r="B44" s="50"/>
      <c r="C44" s="50"/>
    </row>
    <row r="45" spans="1:5" x14ac:dyDescent="0.25">
      <c r="A45" s="335" t="s">
        <v>1053</v>
      </c>
      <c r="B45" s="50"/>
      <c r="C45" s="50"/>
    </row>
    <row r="46" spans="1:5" x14ac:dyDescent="0.25">
      <c r="A46" s="43"/>
      <c r="B46" s="50"/>
      <c r="C46" s="50"/>
    </row>
    <row r="47" spans="1:5" x14ac:dyDescent="0.25">
      <c r="A47" s="43"/>
      <c r="B47" s="51"/>
    </row>
    <row r="48" spans="1:5" x14ac:dyDescent="0.25">
      <c r="A48" s="43" t="s">
        <v>129</v>
      </c>
    </row>
    <row r="49" spans="1:5" ht="15.45" customHeight="1" x14ac:dyDescent="0.25">
      <c r="A49" s="52" t="s">
        <v>197</v>
      </c>
      <c r="B49" s="53"/>
      <c r="C49" s="53"/>
      <c r="D49" s="53"/>
      <c r="E49" s="53"/>
    </row>
    <row r="50" spans="1:5" ht="15.6" customHeight="1" x14ac:dyDescent="0.25">
      <c r="A50" s="5" t="s">
        <v>198</v>
      </c>
      <c r="B50" s="53"/>
      <c r="C50" s="53"/>
      <c r="D50" s="53"/>
      <c r="E50" s="53"/>
    </row>
    <row r="52" spans="1:5" x14ac:dyDescent="0.25">
      <c r="A52" s="43" t="s">
        <v>131</v>
      </c>
    </row>
    <row r="53" spans="1:5" s="38" customFormat="1" x14ac:dyDescent="0.25">
      <c r="A53" s="54" t="s">
        <v>199</v>
      </c>
      <c r="D53" s="37"/>
    </row>
    <row r="54" spans="1:5" s="38" customFormat="1" x14ac:dyDescent="0.25">
      <c r="A54" s="37" t="s">
        <v>200</v>
      </c>
      <c r="D54" s="37"/>
    </row>
    <row r="55" spans="1:5" s="38" customFormat="1" x14ac:dyDescent="0.25">
      <c r="A55" s="37" t="s">
        <v>201</v>
      </c>
      <c r="D55" s="37"/>
    </row>
    <row r="56" spans="1:5" s="38" customFormat="1" x14ac:dyDescent="0.25">
      <c r="A56" s="38" t="s">
        <v>202</v>
      </c>
      <c r="D56" s="37"/>
    </row>
    <row r="57" spans="1:5" x14ac:dyDescent="0.25">
      <c r="A57" s="5" t="s">
        <v>198</v>
      </c>
    </row>
    <row r="60" spans="1:5" x14ac:dyDescent="0.25">
      <c r="A60" s="364" t="s">
        <v>1060</v>
      </c>
      <c r="B60" s="364"/>
      <c r="C60" s="364"/>
      <c r="D60" s="364"/>
      <c r="E60" s="364"/>
    </row>
    <row r="61" spans="1:5" x14ac:dyDescent="0.25">
      <c r="A61" s="364"/>
      <c r="B61" s="364"/>
      <c r="C61" s="364"/>
      <c r="D61" s="364"/>
      <c r="E61" s="364"/>
    </row>
  </sheetData>
  <sheetProtection algorithmName="SHA-512" hashValue="+0Luy0jJQwRTwtGeSb/bVuo1YlLVTej33TsNJnNKECE3nuls7en7CNYYUGNgrIj/AOWjUIwmXD9aGSQyRbZ4gA==" saltValue="Ap1epwiwoljhOtFAtI/t6Q==" spinCount="100000" sheet="1" formatCells="0" formatColumns="0" formatRows="0" insertColumns="0" insertRows="0" insertHyperlinks="0" deleteColumns="0" deleteRows="0" sort="0" autoFilter="0" pivotTables="0"/>
  <mergeCells count="1">
    <mergeCell ref="A60:E61"/>
  </mergeCells>
  <hyperlinks>
    <hyperlink ref="A2" location="Index!B23" display="[Back to Index]" xr:uid="{98AF7E35-ED55-4523-9A4B-CEBB0979939A}"/>
  </hyperlinks>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B8FE5-5CE6-47B8-85DD-5F720DA1D50C}">
  <sheetPr codeName="Sheet30">
    <tabColor rgb="FFFFD1FF"/>
  </sheetPr>
  <dimension ref="A1:E59"/>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12</v>
      </c>
      <c r="B1" s="2" t="s">
        <v>73</v>
      </c>
      <c r="C1" s="3">
        <v>10.39936</v>
      </c>
      <c r="D1" s="4" t="s">
        <v>1045</v>
      </c>
    </row>
    <row r="2" spans="1:5" s="5" customFormat="1" x14ac:dyDescent="0.25">
      <c r="A2" s="324" t="s">
        <v>74</v>
      </c>
      <c r="C2" s="3">
        <v>0.1072099</v>
      </c>
      <c r="D2" s="4" t="s">
        <v>1046</v>
      </c>
    </row>
    <row r="3" spans="1:5" x14ac:dyDescent="0.25">
      <c r="A3" s="154"/>
      <c r="B3" s="222"/>
      <c r="C3" s="142"/>
    </row>
    <row r="4" spans="1:5" s="10" customFormat="1" x14ac:dyDescent="0.3">
      <c r="A4" s="8" t="s">
        <v>75</v>
      </c>
      <c r="B4" s="9" t="s">
        <v>719</v>
      </c>
      <c r="C4" s="9" t="s">
        <v>77</v>
      </c>
      <c r="D4" s="9" t="s">
        <v>78</v>
      </c>
      <c r="E4" s="8" t="s">
        <v>79</v>
      </c>
    </row>
    <row r="5" spans="1:5" s="15" customFormat="1" ht="60" x14ac:dyDescent="0.25">
      <c r="A5" s="11" t="s">
        <v>80</v>
      </c>
      <c r="B5" s="12">
        <f>SUM(B6:B7)</f>
        <v>0</v>
      </c>
      <c r="C5" s="12">
        <f>SUM(C6:C7)</f>
        <v>0</v>
      </c>
      <c r="D5" s="56"/>
      <c r="E5" s="14"/>
    </row>
    <row r="6" spans="1:5" s="15" customFormat="1" ht="45" x14ac:dyDescent="0.25">
      <c r="A6" s="14" t="s">
        <v>81</v>
      </c>
      <c r="B6" s="16"/>
      <c r="C6" s="16"/>
      <c r="D6" s="13"/>
      <c r="E6" s="14"/>
    </row>
    <row r="7" spans="1:5" s="15" customFormat="1" ht="60" x14ac:dyDescent="0.25">
      <c r="A7" s="14" t="s">
        <v>84</v>
      </c>
      <c r="B7" s="17"/>
      <c r="C7" s="17"/>
      <c r="D7" s="13" t="s">
        <v>720</v>
      </c>
      <c r="E7" s="14" t="s">
        <v>681</v>
      </c>
    </row>
    <row r="8" spans="1:5" ht="30" x14ac:dyDescent="0.25">
      <c r="A8" s="11" t="s">
        <v>87</v>
      </c>
      <c r="B8" s="12">
        <f>SUM(B9:B11)</f>
        <v>0</v>
      </c>
      <c r="C8" s="12">
        <f>SUM(C9:C11)</f>
        <v>0</v>
      </c>
      <c r="D8" s="13"/>
      <c r="E8" s="14"/>
    </row>
    <row r="9" spans="1:5" ht="60" x14ac:dyDescent="0.25">
      <c r="A9" s="14" t="s">
        <v>88</v>
      </c>
      <c r="B9" s="16"/>
      <c r="C9" s="16"/>
      <c r="D9" s="13"/>
      <c r="E9" s="14"/>
    </row>
    <row r="10" spans="1:5" ht="60" x14ac:dyDescent="0.25">
      <c r="A10" s="14" t="s">
        <v>90</v>
      </c>
      <c r="B10" s="16"/>
      <c r="C10" s="16"/>
      <c r="D10" s="13" t="s">
        <v>1040</v>
      </c>
      <c r="E10" s="14" t="s">
        <v>686</v>
      </c>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30" x14ac:dyDescent="0.25">
      <c r="A16" s="11" t="s">
        <v>98</v>
      </c>
      <c r="B16" s="12">
        <f>SUM(B17:B18)</f>
        <v>0</v>
      </c>
      <c r="C16" s="12">
        <f>SUM(C17:C18)</f>
        <v>0</v>
      </c>
      <c r="D16" s="13"/>
      <c r="E16" s="14"/>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6"/>
      <c r="C19" s="16"/>
      <c r="D19" s="13"/>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304100000</v>
      </c>
      <c r="C26" s="12">
        <f>SUM(C27:C29)</f>
        <v>100000000</v>
      </c>
      <c r="D26" s="13"/>
      <c r="E26" s="14"/>
    </row>
    <row r="27" spans="1:5" x14ac:dyDescent="0.25">
      <c r="A27" s="13" t="s">
        <v>112</v>
      </c>
      <c r="B27" s="16"/>
      <c r="C27" s="16"/>
      <c r="D27" s="13"/>
      <c r="E27" s="14"/>
    </row>
    <row r="28" spans="1:5" ht="60" x14ac:dyDescent="0.25">
      <c r="A28" s="13" t="s">
        <v>115</v>
      </c>
      <c r="B28" s="16">
        <f>C28*$B$36</f>
        <v>304100000</v>
      </c>
      <c r="C28" s="16">
        <f>100*10^6</f>
        <v>100000000</v>
      </c>
      <c r="D28" s="13" t="s">
        <v>721</v>
      </c>
      <c r="E28" s="14" t="s">
        <v>686</v>
      </c>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x14ac:dyDescent="0.25">
      <c r="A32" s="11" t="s">
        <v>119</v>
      </c>
      <c r="B32" s="30"/>
      <c r="C32" s="12"/>
      <c r="D32" s="13"/>
      <c r="E32" s="14"/>
    </row>
    <row r="33" spans="1:5" x14ac:dyDescent="0.25">
      <c r="A33" s="31"/>
      <c r="B33" s="120"/>
      <c r="C33" s="120"/>
      <c r="D33" s="33"/>
      <c r="E33" s="34"/>
    </row>
    <row r="34" spans="1:5" x14ac:dyDescent="0.25">
      <c r="A34" s="35" t="s">
        <v>120</v>
      </c>
      <c r="B34" s="121">
        <f>SUM(B5,B8,B12,B15,B16)</f>
        <v>0</v>
      </c>
      <c r="C34" s="121">
        <f>SUM(C5,C8,C12,C15,C16)</f>
        <v>0</v>
      </c>
    </row>
    <row r="35" spans="1:5" x14ac:dyDescent="0.25">
      <c r="A35" s="31"/>
      <c r="B35" s="39"/>
      <c r="C35" s="40"/>
    </row>
    <row r="36" spans="1:5" x14ac:dyDescent="0.25">
      <c r="A36" s="31" t="s">
        <v>121</v>
      </c>
      <c r="B36" s="88">
        <v>3.0409999999999999</v>
      </c>
      <c r="C36" s="42"/>
    </row>
    <row r="37" spans="1:5" x14ac:dyDescent="0.25">
      <c r="A37" s="43" t="s">
        <v>122</v>
      </c>
      <c r="B37" s="45">
        <v>44749000000</v>
      </c>
      <c r="C37" s="45">
        <v>15925000000</v>
      </c>
    </row>
    <row r="38" spans="1:5" x14ac:dyDescent="0.25">
      <c r="A38" s="43" t="s">
        <v>123</v>
      </c>
      <c r="B38" s="45">
        <v>3731000</v>
      </c>
      <c r="C38" s="45"/>
    </row>
    <row r="39" spans="1:5" x14ac:dyDescent="0.25">
      <c r="A39" s="43"/>
      <c r="B39" s="44"/>
      <c r="C39" s="44"/>
    </row>
    <row r="40" spans="1:5" x14ac:dyDescent="0.25">
      <c r="A40" s="5"/>
      <c r="B40" s="46" t="s">
        <v>722</v>
      </c>
      <c r="C40" s="47" t="s">
        <v>125</v>
      </c>
    </row>
    <row r="41" spans="1:5" x14ac:dyDescent="0.25">
      <c r="A41" s="43" t="s">
        <v>126</v>
      </c>
      <c r="B41" s="48">
        <f>$B37/$B$38</f>
        <v>11993.835432859823</v>
      </c>
      <c r="C41" s="48">
        <f>$C37/$B$38</f>
        <v>4268.292682926829</v>
      </c>
    </row>
    <row r="42" spans="1:5" x14ac:dyDescent="0.25">
      <c r="A42" s="43" t="s">
        <v>127</v>
      </c>
      <c r="B42" s="96">
        <f>($B34/$B37)*100</f>
        <v>0</v>
      </c>
      <c r="C42" s="96"/>
    </row>
    <row r="43" spans="1:5" x14ac:dyDescent="0.25">
      <c r="A43" s="43" t="s">
        <v>128</v>
      </c>
      <c r="B43" s="105">
        <f>$B34/$B$38</f>
        <v>0</v>
      </c>
      <c r="C43" s="105">
        <f>$C34/$B$38</f>
        <v>0</v>
      </c>
    </row>
    <row r="44" spans="1:5" x14ac:dyDescent="0.25">
      <c r="A44" s="43"/>
      <c r="B44" s="50"/>
      <c r="C44" s="50"/>
    </row>
    <row r="45" spans="1:5" x14ac:dyDescent="0.25">
      <c r="A45" s="336" t="s">
        <v>1055</v>
      </c>
      <c r="B45" s="50"/>
      <c r="C45" s="50"/>
    </row>
    <row r="46" spans="1:5" x14ac:dyDescent="0.25">
      <c r="A46" s="336"/>
      <c r="B46" s="50"/>
      <c r="C46" s="50"/>
    </row>
    <row r="47" spans="1:5" x14ac:dyDescent="0.25">
      <c r="A47" s="43"/>
      <c r="B47" s="51"/>
    </row>
    <row r="48" spans="1:5" x14ac:dyDescent="0.25">
      <c r="A48" s="43" t="s">
        <v>129</v>
      </c>
    </row>
    <row r="49" spans="1:5" ht="15.45" customHeight="1" x14ac:dyDescent="0.25">
      <c r="A49" s="53" t="s">
        <v>130</v>
      </c>
      <c r="B49" s="53"/>
      <c r="C49" s="53"/>
      <c r="D49" s="53"/>
      <c r="E49" s="53"/>
    </row>
    <row r="50" spans="1:5" ht="15.45" customHeight="1" x14ac:dyDescent="0.25">
      <c r="A50" s="53"/>
      <c r="B50" s="53"/>
      <c r="C50" s="53"/>
      <c r="D50" s="53"/>
      <c r="E50" s="53"/>
    </row>
    <row r="52" spans="1:5" x14ac:dyDescent="0.25">
      <c r="A52" s="43" t="s">
        <v>131</v>
      </c>
    </row>
    <row r="53" spans="1:5" s="38" customFormat="1" x14ac:dyDescent="0.3">
      <c r="A53" s="365" t="s">
        <v>723</v>
      </c>
      <c r="B53" s="365"/>
      <c r="C53" s="365"/>
      <c r="D53" s="365"/>
      <c r="E53" s="365"/>
    </row>
    <row r="54" spans="1:5" s="38" customFormat="1" x14ac:dyDescent="0.3">
      <c r="A54" s="365"/>
      <c r="B54" s="365"/>
      <c r="C54" s="365"/>
      <c r="D54" s="365"/>
      <c r="E54" s="365"/>
    </row>
    <row r="55" spans="1:5" s="38" customFormat="1" x14ac:dyDescent="0.25">
      <c r="A55" s="5" t="s">
        <v>698</v>
      </c>
      <c r="B55" s="37"/>
      <c r="C55" s="147"/>
      <c r="D55" s="37"/>
      <c r="E55" s="37"/>
    </row>
    <row r="56" spans="1:5" s="38" customFormat="1" x14ac:dyDescent="0.3">
      <c r="A56" s="34"/>
      <c r="B56" s="34"/>
      <c r="C56" s="34"/>
      <c r="D56" s="34"/>
      <c r="E56" s="34"/>
    </row>
    <row r="57" spans="1:5" s="38" customFormat="1" x14ac:dyDescent="0.25">
      <c r="A57" s="5"/>
      <c r="D57" s="37"/>
    </row>
    <row r="58" spans="1:5" ht="15" customHeight="1" x14ac:dyDescent="0.25">
      <c r="A58" s="364" t="s">
        <v>1061</v>
      </c>
      <c r="B58" s="364"/>
      <c r="C58" s="364"/>
      <c r="D58" s="364"/>
      <c r="E58" s="364"/>
    </row>
    <row r="59" spans="1:5" x14ac:dyDescent="0.25">
      <c r="A59" s="364"/>
      <c r="B59" s="364"/>
      <c r="C59" s="364"/>
      <c r="D59" s="364"/>
      <c r="E59" s="364"/>
    </row>
  </sheetData>
  <sheetProtection algorithmName="SHA-512" hashValue="NK6EvvYNXzh7DKlUl0KvfxsBdgRq8CVTOTaKGwanBlbtj7vX8Wwwgk6yBz/p4o4SakTaeu7WttyCCs7/TjZcxQ==" saltValue="1hun4kqZQX/uXz1OClhsUw==" spinCount="100000" sheet="1" formatCells="0" formatColumns="0" formatRows="0" insertColumns="0" insertRows="0" insertHyperlinks="0" deleteColumns="0" deleteRows="0" sort="0" autoFilter="0" pivotTables="0"/>
  <mergeCells count="2">
    <mergeCell ref="A53:E54"/>
    <mergeCell ref="A58:E59"/>
  </mergeCells>
  <hyperlinks>
    <hyperlink ref="A2" location="Index!E25" display="[Back to Index]" xr:uid="{C693212B-8AA8-4B01-BEBB-BFDFD0F75961}"/>
  </hyperlinks>
  <pageMargins left="0.7" right="0.7" top="0.75" bottom="0.75" header="0.3" footer="0.3"/>
  <pageSetup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C34D-092A-4F97-BA71-EAF1B8672E4F}">
  <sheetPr codeName="Sheet31">
    <tabColor rgb="FFFFD1FF"/>
  </sheetPr>
  <dimension ref="A1:E6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15</v>
      </c>
      <c r="B1" s="2" t="s">
        <v>73</v>
      </c>
      <c r="C1" s="3">
        <v>9.0498729999999998</v>
      </c>
      <c r="D1" s="4" t="s">
        <v>1045</v>
      </c>
    </row>
    <row r="2" spans="1:5" s="5" customFormat="1" x14ac:dyDescent="0.25">
      <c r="A2" s="324" t="s">
        <v>74</v>
      </c>
      <c r="C2" s="3">
        <v>9.3015600000000004E-2</v>
      </c>
      <c r="D2" s="4" t="s">
        <v>1046</v>
      </c>
    </row>
    <row r="3" spans="1:5" x14ac:dyDescent="0.25">
      <c r="A3" s="154"/>
      <c r="B3" s="222"/>
      <c r="C3" s="142"/>
    </row>
    <row r="4" spans="1:5" s="10" customFormat="1" x14ac:dyDescent="0.3">
      <c r="A4" s="8" t="s">
        <v>75</v>
      </c>
      <c r="B4" s="9" t="s">
        <v>763</v>
      </c>
      <c r="C4" s="9" t="s">
        <v>77</v>
      </c>
      <c r="D4" s="9" t="s">
        <v>78</v>
      </c>
      <c r="E4" s="8" t="s">
        <v>79</v>
      </c>
    </row>
    <row r="5" spans="1:5" s="15" customFormat="1" ht="60" x14ac:dyDescent="0.25">
      <c r="A5" s="11" t="s">
        <v>80</v>
      </c>
      <c r="B5" s="12">
        <f>SUM(B6:B7)</f>
        <v>1600000000000</v>
      </c>
      <c r="C5" s="12">
        <f>SUM(C6:C7)</f>
        <v>3881140084.8999395</v>
      </c>
      <c r="D5" s="13"/>
      <c r="E5" s="14"/>
    </row>
    <row r="6" spans="1:5" s="15" customFormat="1" ht="60" x14ac:dyDescent="0.25">
      <c r="A6" s="14" t="s">
        <v>81</v>
      </c>
      <c r="B6" s="227">
        <f>(1*10^12)+(600*10^9)</f>
        <v>1600000000000</v>
      </c>
      <c r="C6" s="227">
        <f>B6/$B$36</f>
        <v>3881140084.8999395</v>
      </c>
      <c r="D6" s="13" t="s">
        <v>764</v>
      </c>
      <c r="E6" s="14" t="s">
        <v>205</v>
      </c>
    </row>
    <row r="7" spans="1:5" s="15" customFormat="1" ht="90" x14ac:dyDescent="0.25">
      <c r="A7" s="14" t="s">
        <v>84</v>
      </c>
      <c r="B7" s="17"/>
      <c r="C7" s="17"/>
      <c r="D7" s="13" t="s">
        <v>765</v>
      </c>
      <c r="E7" s="14" t="s">
        <v>205</v>
      </c>
    </row>
    <row r="8" spans="1:5" ht="30" x14ac:dyDescent="0.25">
      <c r="A8" s="11" t="s">
        <v>87</v>
      </c>
      <c r="B8" s="12">
        <f>SUM(B9:B11)</f>
        <v>0</v>
      </c>
      <c r="C8" s="12">
        <f>SUM(C9:C11)</f>
        <v>0</v>
      </c>
      <c r="D8" s="13"/>
      <c r="E8" s="14"/>
    </row>
    <row r="9" spans="1:5" ht="60" x14ac:dyDescent="0.25">
      <c r="A9" s="14" t="s">
        <v>88</v>
      </c>
      <c r="B9" s="16"/>
      <c r="C9" s="16"/>
      <c r="D9" s="13"/>
      <c r="E9" s="14"/>
    </row>
    <row r="10" spans="1:5" ht="105" x14ac:dyDescent="0.25">
      <c r="A10" s="14" t="s">
        <v>90</v>
      </c>
      <c r="B10" s="16"/>
      <c r="C10" s="16"/>
      <c r="D10" s="13" t="s">
        <v>766</v>
      </c>
      <c r="E10" s="14" t="s">
        <v>205</v>
      </c>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ht="60" x14ac:dyDescent="0.25">
      <c r="A14" s="14" t="s">
        <v>96</v>
      </c>
      <c r="B14" s="16"/>
      <c r="C14" s="16"/>
      <c r="D14" s="13" t="s">
        <v>767</v>
      </c>
      <c r="E14" s="14" t="s">
        <v>205</v>
      </c>
    </row>
    <row r="15" spans="1:5" ht="45" x14ac:dyDescent="0.25">
      <c r="A15" s="11" t="s">
        <v>97</v>
      </c>
      <c r="B15" s="12"/>
      <c r="C15" s="12"/>
      <c r="D15" s="13"/>
      <c r="E15" s="14"/>
    </row>
    <row r="16" spans="1:5" ht="105" x14ac:dyDescent="0.25">
      <c r="A16" s="11" t="s">
        <v>98</v>
      </c>
      <c r="B16" s="12">
        <f>((13*10^9)*$B$36)+(1.8*10^12)</f>
        <v>7159250000000</v>
      </c>
      <c r="C16" s="12">
        <f>B16/$B$36</f>
        <v>17366282595.512432</v>
      </c>
      <c r="D16" s="13" t="s">
        <v>768</v>
      </c>
      <c r="E16" s="14" t="s">
        <v>205</v>
      </c>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0</v>
      </c>
      <c r="C26" s="12">
        <f>SUM(C27:C29)</f>
        <v>0</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x14ac:dyDescent="0.25">
      <c r="A32" s="11" t="s">
        <v>119</v>
      </c>
      <c r="B32" s="30"/>
      <c r="C32" s="12"/>
      <c r="D32" s="13"/>
      <c r="E32" s="14"/>
    </row>
    <row r="33" spans="1:5" x14ac:dyDescent="0.25">
      <c r="A33" s="31"/>
      <c r="B33" s="120"/>
      <c r="C33" s="120"/>
      <c r="D33" s="33"/>
      <c r="E33" s="34"/>
    </row>
    <row r="34" spans="1:5" x14ac:dyDescent="0.25">
      <c r="A34" s="35" t="s">
        <v>120</v>
      </c>
      <c r="B34" s="39">
        <f>SUM(B5,B8,B12,B15,B16)</f>
        <v>8759250000000</v>
      </c>
      <c r="C34" s="39">
        <f>SUM(C5,C8,C12,C15,C16)</f>
        <v>21247422680.412373</v>
      </c>
    </row>
    <row r="35" spans="1:5" x14ac:dyDescent="0.25">
      <c r="A35" s="31"/>
      <c r="B35" s="39"/>
      <c r="C35" s="40"/>
    </row>
    <row r="36" spans="1:5" x14ac:dyDescent="0.25">
      <c r="A36" s="31" t="s">
        <v>121</v>
      </c>
      <c r="B36" s="88">
        <v>412.25</v>
      </c>
      <c r="C36" s="42"/>
    </row>
    <row r="37" spans="1:5" x14ac:dyDescent="0.25">
      <c r="A37" s="43" t="s">
        <v>122</v>
      </c>
      <c r="B37" s="45">
        <v>65439180000000</v>
      </c>
      <c r="C37" s="45">
        <v>170326000000</v>
      </c>
    </row>
    <row r="38" spans="1:5" x14ac:dyDescent="0.25">
      <c r="A38" s="43" t="s">
        <v>123</v>
      </c>
      <c r="B38" s="45">
        <v>18276499</v>
      </c>
      <c r="C38" s="45"/>
    </row>
    <row r="39" spans="1:5" x14ac:dyDescent="0.25">
      <c r="A39" s="43"/>
      <c r="B39" s="44"/>
      <c r="C39" s="44"/>
    </row>
    <row r="40" spans="1:5" x14ac:dyDescent="0.25">
      <c r="A40" s="5"/>
      <c r="B40" s="46" t="s">
        <v>769</v>
      </c>
      <c r="C40" s="47" t="s">
        <v>125</v>
      </c>
    </row>
    <row r="41" spans="1:5" x14ac:dyDescent="0.25">
      <c r="A41" s="43" t="s">
        <v>126</v>
      </c>
      <c r="B41" s="48">
        <f>$B37/$B$38</f>
        <v>3580509.5932213278</v>
      </c>
      <c r="C41" s="48">
        <f>$C37/$B$38</f>
        <v>9319.399738429116</v>
      </c>
    </row>
    <row r="42" spans="1:5" x14ac:dyDescent="0.25">
      <c r="A42" s="43" t="s">
        <v>127</v>
      </c>
      <c r="B42" s="49">
        <f>($B34/$B37)*100</f>
        <v>13.385329706148518</v>
      </c>
      <c r="C42" s="49"/>
    </row>
    <row r="43" spans="1:5" x14ac:dyDescent="0.25">
      <c r="A43" s="43" t="s">
        <v>128</v>
      </c>
      <c r="B43" s="50">
        <f>$B34/$B$38</f>
        <v>479263.01421295182</v>
      </c>
      <c r="C43" s="50">
        <f>$C34/$B$38</f>
        <v>1162.5543097949105</v>
      </c>
    </row>
    <row r="44" spans="1:5" x14ac:dyDescent="0.25">
      <c r="A44" s="43"/>
      <c r="B44" s="50"/>
      <c r="C44" s="50"/>
    </row>
    <row r="45" spans="1:5" x14ac:dyDescent="0.25">
      <c r="A45" s="336" t="s">
        <v>1055</v>
      </c>
      <c r="B45" s="50"/>
      <c r="C45" s="50"/>
    </row>
    <row r="46" spans="1:5" x14ac:dyDescent="0.25">
      <c r="A46" s="336"/>
      <c r="B46" s="50"/>
      <c r="C46" s="50"/>
    </row>
    <row r="47" spans="1:5" x14ac:dyDescent="0.25">
      <c r="A47" s="43"/>
      <c r="B47" s="51"/>
    </row>
    <row r="48" spans="1:5" x14ac:dyDescent="0.25">
      <c r="A48" s="75" t="s">
        <v>129</v>
      </c>
      <c r="B48" s="70"/>
      <c r="C48" s="70"/>
      <c r="E48" s="70"/>
    </row>
    <row r="49" spans="1:5" ht="15.6" customHeight="1" x14ac:dyDescent="0.25">
      <c r="A49" s="370" t="s">
        <v>770</v>
      </c>
      <c r="B49" s="370"/>
      <c r="C49" s="370"/>
      <c r="D49" s="370"/>
      <c r="E49" s="370"/>
    </row>
    <row r="50" spans="1:5" ht="15.6" customHeight="1" x14ac:dyDescent="0.25">
      <c r="A50" s="370"/>
      <c r="B50" s="370"/>
      <c r="C50" s="370"/>
      <c r="D50" s="370"/>
      <c r="E50" s="370"/>
    </row>
    <row r="51" spans="1:5" x14ac:dyDescent="0.25">
      <c r="A51" s="70" t="s">
        <v>771</v>
      </c>
      <c r="B51" s="70"/>
      <c r="C51" s="70"/>
      <c r="E51" s="70"/>
    </row>
    <row r="52" spans="1:5" ht="15.6" customHeight="1" x14ac:dyDescent="0.25">
      <c r="A52" s="7" t="s">
        <v>772</v>
      </c>
      <c r="B52" s="53"/>
      <c r="C52" s="53"/>
      <c r="D52" s="53"/>
      <c r="E52" s="53"/>
    </row>
    <row r="53" spans="1:5" ht="15.6" customHeight="1" x14ac:dyDescent="0.25">
      <c r="A53" s="7"/>
      <c r="B53" s="53"/>
      <c r="C53" s="53"/>
      <c r="D53" s="53"/>
      <c r="E53" s="53"/>
    </row>
    <row r="54" spans="1:5" ht="15.6" customHeight="1" x14ac:dyDescent="0.25">
      <c r="A54" s="7"/>
      <c r="B54" s="53"/>
      <c r="C54" s="53"/>
      <c r="D54" s="53"/>
      <c r="E54" s="53"/>
    </row>
    <row r="55" spans="1:5" x14ac:dyDescent="0.25">
      <c r="A55" s="75" t="s">
        <v>131</v>
      </c>
      <c r="B55" s="70"/>
      <c r="C55" s="70"/>
      <c r="E55" s="70"/>
    </row>
    <row r="56" spans="1:5" s="38" customFormat="1" x14ac:dyDescent="0.3">
      <c r="A56" s="230" t="s">
        <v>773</v>
      </c>
      <c r="B56" s="55"/>
      <c r="C56" s="55"/>
      <c r="D56" s="55"/>
      <c r="E56" s="55"/>
    </row>
    <row r="57" spans="1:5" s="38" customFormat="1" x14ac:dyDescent="0.3">
      <c r="A57" s="230" t="s">
        <v>774</v>
      </c>
      <c r="B57" s="55"/>
      <c r="C57" s="55"/>
      <c r="D57" s="55"/>
      <c r="E57" s="55"/>
    </row>
    <row r="58" spans="1:5" s="38" customFormat="1" x14ac:dyDescent="0.3">
      <c r="A58" s="38" t="s">
        <v>775</v>
      </c>
      <c r="B58" s="34"/>
      <c r="C58" s="34"/>
      <c r="D58" s="34"/>
      <c r="E58" s="34"/>
    </row>
    <row r="59" spans="1:5" s="38" customFormat="1" x14ac:dyDescent="0.25">
      <c r="A59" s="5" t="s">
        <v>772</v>
      </c>
      <c r="D59" s="37"/>
    </row>
    <row r="60" spans="1:5" s="38" customFormat="1" x14ac:dyDescent="0.25">
      <c r="D60" s="37"/>
    </row>
    <row r="61" spans="1:5" s="38" customFormat="1" x14ac:dyDescent="0.25">
      <c r="A61" s="5"/>
      <c r="D61" s="37"/>
    </row>
    <row r="62" spans="1:5" x14ac:dyDescent="0.25">
      <c r="A62" s="364" t="s">
        <v>1060</v>
      </c>
      <c r="B62" s="364"/>
      <c r="C62" s="364"/>
      <c r="D62" s="364"/>
      <c r="E62" s="364"/>
    </row>
    <row r="63" spans="1:5" x14ac:dyDescent="0.25">
      <c r="A63" s="364"/>
      <c r="B63" s="364"/>
      <c r="C63" s="364"/>
      <c r="D63" s="364"/>
      <c r="E63" s="364"/>
    </row>
  </sheetData>
  <sheetProtection algorithmName="SHA-512" hashValue="PhQDw0l9zOxynbuunMm0fnzxJSjjgJ2MQpv6HGcU3CLn1sRiqeEiD23IPJJfE0iiXIWLsK5I11jC0FlDoKuP3A==" saltValue="Z2ssrRvksC4PVGVVib4//Q==" spinCount="100000" sheet="1" formatCells="0" formatColumns="0" formatRows="0" insertColumns="0" insertRows="0" insertHyperlinks="0" deleteColumns="0" deleteRows="0" sort="0" autoFilter="0" pivotTables="0"/>
  <mergeCells count="2">
    <mergeCell ref="A49:E50"/>
    <mergeCell ref="A62:E63"/>
  </mergeCells>
  <hyperlinks>
    <hyperlink ref="A2" location="Index!E26" display="[Back to Index]" xr:uid="{C25D35FA-F8B0-437D-A88B-9CF6AB849A66}"/>
  </hyperlinks>
  <pageMargins left="0.7" right="0.7" top="0.75" bottom="0.75" header="0.3" footer="0.3"/>
  <pageSetup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0FDC-4F11-4430-9B5E-BC2E239CE269}">
  <sheetPr codeName="Sheet32">
    <tabColor rgb="FFFFD1FF"/>
  </sheetPr>
  <dimension ref="A1:E61"/>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18</v>
      </c>
      <c r="B1" s="2" t="s">
        <v>73</v>
      </c>
      <c r="C1" s="84">
        <v>8.7716519999999996</v>
      </c>
      <c r="D1" s="4" t="s">
        <v>1045</v>
      </c>
    </row>
    <row r="2" spans="1:5" s="5" customFormat="1" x14ac:dyDescent="0.25">
      <c r="A2" s="324" t="s">
        <v>74</v>
      </c>
      <c r="C2" s="84">
        <v>7.9166500000000001E-2</v>
      </c>
      <c r="D2" s="4" t="s">
        <v>1046</v>
      </c>
    </row>
    <row r="3" spans="1:5" x14ac:dyDescent="0.25">
      <c r="A3" s="154"/>
      <c r="B3" s="222"/>
      <c r="C3" s="142"/>
    </row>
    <row r="4" spans="1:5" s="10" customFormat="1" x14ac:dyDescent="0.3">
      <c r="A4" s="8" t="s">
        <v>75</v>
      </c>
      <c r="B4" s="9" t="s">
        <v>822</v>
      </c>
      <c r="C4" s="9" t="s">
        <v>77</v>
      </c>
      <c r="D4" s="9" t="s">
        <v>78</v>
      </c>
      <c r="E4" s="8" t="s">
        <v>79</v>
      </c>
    </row>
    <row r="5" spans="1:5" s="15" customFormat="1" ht="60" x14ac:dyDescent="0.25">
      <c r="A5" s="11" t="s">
        <v>80</v>
      </c>
      <c r="B5" s="12">
        <f>SUM(B6:B7)</f>
        <v>16189501999.999998</v>
      </c>
      <c r="C5" s="12">
        <f>SUM(C6:C7)</f>
        <v>217000000</v>
      </c>
      <c r="D5" s="13"/>
      <c r="E5" s="14"/>
    </row>
    <row r="6" spans="1:5" s="15" customFormat="1" ht="45" x14ac:dyDescent="0.25">
      <c r="A6" s="14" t="s">
        <v>81</v>
      </c>
      <c r="B6" s="16"/>
      <c r="C6" s="16"/>
      <c r="D6" s="13"/>
      <c r="E6" s="14"/>
    </row>
    <row r="7" spans="1:5" s="15" customFormat="1" ht="120" x14ac:dyDescent="0.25">
      <c r="A7" s="14" t="s">
        <v>84</v>
      </c>
      <c r="B7" s="16">
        <f>C7*$B$36</f>
        <v>16189501999.999998</v>
      </c>
      <c r="C7" s="16">
        <f>217*10^6</f>
        <v>217000000</v>
      </c>
      <c r="D7" s="13" t="s">
        <v>1077</v>
      </c>
      <c r="E7" s="14" t="s">
        <v>805</v>
      </c>
    </row>
    <row r="8" spans="1:5" ht="30" x14ac:dyDescent="0.25">
      <c r="A8" s="11" t="s">
        <v>87</v>
      </c>
      <c r="B8" s="12">
        <f>SUM(B9:B11)</f>
        <v>0</v>
      </c>
      <c r="C8" s="12">
        <f>SUM(C9:C11)</f>
        <v>0</v>
      </c>
      <c r="D8" s="13"/>
      <c r="E8" s="14"/>
    </row>
    <row r="9" spans="1:5" ht="60" x14ac:dyDescent="0.25">
      <c r="A9" s="14" t="s">
        <v>88</v>
      </c>
      <c r="B9" s="16"/>
      <c r="C9" s="16"/>
      <c r="D9" s="13"/>
      <c r="E9" s="14"/>
    </row>
    <row r="10" spans="1:5" ht="135" x14ac:dyDescent="0.25">
      <c r="A10" s="14" t="s">
        <v>90</v>
      </c>
      <c r="B10" s="16"/>
      <c r="C10" s="16"/>
      <c r="D10" s="13" t="s">
        <v>1078</v>
      </c>
      <c r="E10" s="14" t="s">
        <v>805</v>
      </c>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30" x14ac:dyDescent="0.25">
      <c r="A16" s="11" t="s">
        <v>98</v>
      </c>
      <c r="B16" s="12">
        <f>SUM(B17:B18)</f>
        <v>701296400</v>
      </c>
      <c r="C16" s="12">
        <f>SUM(C17:C18)</f>
        <v>9400000</v>
      </c>
      <c r="D16" s="13"/>
      <c r="E16" s="14"/>
    </row>
    <row r="17" spans="1:5" ht="75" x14ac:dyDescent="0.25">
      <c r="A17" s="13" t="s">
        <v>99</v>
      </c>
      <c r="B17" s="134">
        <f>C17*$B$36</f>
        <v>701296400</v>
      </c>
      <c r="C17" s="227">
        <f>9.4*10^6</f>
        <v>9400000</v>
      </c>
      <c r="D17" s="57" t="s">
        <v>823</v>
      </c>
      <c r="E17" s="14" t="s">
        <v>805</v>
      </c>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1592838100</v>
      </c>
      <c r="C26" s="12">
        <f>SUM(C27:C29)</f>
        <v>21350000</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6">
        <f>SUM(B30:B31)</f>
        <v>1592838100</v>
      </c>
      <c r="C29" s="16">
        <f>SUM(C30:C31)</f>
        <v>21350000</v>
      </c>
      <c r="D29" s="13"/>
      <c r="E29" s="14"/>
    </row>
    <row r="30" spans="1:5" ht="30" x14ac:dyDescent="0.25">
      <c r="A30" s="13" t="s">
        <v>117</v>
      </c>
      <c r="B30" s="19">
        <f>C30*$B$36</f>
        <v>14921199.999999998</v>
      </c>
      <c r="C30" s="19">
        <f>0.2*10^6</f>
        <v>200000</v>
      </c>
      <c r="D30" s="83" t="s">
        <v>824</v>
      </c>
      <c r="E30" s="24" t="s">
        <v>209</v>
      </c>
    </row>
    <row r="31" spans="1:5" ht="90" x14ac:dyDescent="0.25">
      <c r="A31" s="13" t="s">
        <v>118</v>
      </c>
      <c r="B31" s="19">
        <f>C31*$B$36</f>
        <v>1577916900</v>
      </c>
      <c r="C31" s="19">
        <f>(12.15+9)*10^6</f>
        <v>21150000</v>
      </c>
      <c r="D31" s="13" t="s">
        <v>825</v>
      </c>
      <c r="E31" s="14" t="s">
        <v>826</v>
      </c>
    </row>
    <row r="32" spans="1:5" x14ac:dyDescent="0.25">
      <c r="A32" s="11" t="s">
        <v>119</v>
      </c>
      <c r="B32" s="30"/>
      <c r="C32" s="12"/>
      <c r="D32" s="13"/>
      <c r="E32" s="14"/>
    </row>
    <row r="33" spans="1:5" x14ac:dyDescent="0.25">
      <c r="A33" s="31"/>
      <c r="B33" s="120"/>
      <c r="C33" s="120"/>
      <c r="D33" s="33"/>
      <c r="E33" s="34"/>
    </row>
    <row r="34" spans="1:5" x14ac:dyDescent="0.25">
      <c r="A34" s="35" t="s">
        <v>120</v>
      </c>
      <c r="B34" s="39">
        <f>SUM(B5,B8,B12,B15,B16)</f>
        <v>16890798399.999998</v>
      </c>
      <c r="C34" s="39">
        <f>SUM(C5,C8,C12,C15,C16)</f>
        <v>226400000</v>
      </c>
    </row>
    <row r="35" spans="1:5" x14ac:dyDescent="0.25">
      <c r="A35" s="31"/>
      <c r="B35" s="39"/>
      <c r="C35" s="40"/>
    </row>
    <row r="36" spans="1:5" x14ac:dyDescent="0.25">
      <c r="A36" s="31" t="s">
        <v>121</v>
      </c>
      <c r="B36" s="88">
        <v>74.605999999999995</v>
      </c>
      <c r="C36" s="42"/>
    </row>
    <row r="37" spans="1:5" x14ac:dyDescent="0.25">
      <c r="A37" s="43" t="s">
        <v>122</v>
      </c>
      <c r="B37" s="45">
        <v>585601000000</v>
      </c>
      <c r="C37" s="45">
        <v>8261000000</v>
      </c>
      <c r="D37" s="232"/>
    </row>
    <row r="38" spans="1:5" x14ac:dyDescent="0.25">
      <c r="A38" s="43" t="s">
        <v>123</v>
      </c>
      <c r="B38" s="45">
        <v>6315800</v>
      </c>
      <c r="C38" s="45"/>
    </row>
    <row r="39" spans="1:5" x14ac:dyDescent="0.25">
      <c r="A39" s="43"/>
      <c r="B39" s="44"/>
      <c r="C39" s="44"/>
    </row>
    <row r="40" spans="1:5" x14ac:dyDescent="0.25">
      <c r="A40" s="5"/>
      <c r="B40" s="46" t="s">
        <v>827</v>
      </c>
      <c r="C40" s="47" t="s">
        <v>125</v>
      </c>
    </row>
    <row r="41" spans="1:5" x14ac:dyDescent="0.25">
      <c r="A41" s="43" t="s">
        <v>126</v>
      </c>
      <c r="B41" s="48">
        <f>$B37/$B$38</f>
        <v>92720.003799993661</v>
      </c>
      <c r="C41" s="48">
        <f>$C37/$B$38</f>
        <v>1307.9894866841889</v>
      </c>
    </row>
    <row r="42" spans="1:5" x14ac:dyDescent="0.25">
      <c r="A42" s="43" t="s">
        <v>127</v>
      </c>
      <c r="B42" s="49">
        <f>($B34/$B37)*100</f>
        <v>2.8843527248075049</v>
      </c>
      <c r="C42" s="49"/>
    </row>
    <row r="43" spans="1:5" x14ac:dyDescent="0.25">
      <c r="A43" s="43" t="s">
        <v>128</v>
      </c>
      <c r="B43" s="50">
        <f>$B34/$B$38</f>
        <v>2674.3719560467398</v>
      </c>
      <c r="C43" s="50">
        <f>$C34/$B$38</f>
        <v>35.846606922321797</v>
      </c>
    </row>
    <row r="44" spans="1:5" x14ac:dyDescent="0.25">
      <c r="A44" s="43"/>
      <c r="B44" s="50"/>
      <c r="C44" s="50"/>
    </row>
    <row r="45" spans="1:5" x14ac:dyDescent="0.25">
      <c r="A45" s="336" t="s">
        <v>1058</v>
      </c>
      <c r="B45" s="50"/>
      <c r="C45" s="50"/>
    </row>
    <row r="46" spans="1:5" x14ac:dyDescent="0.25">
      <c r="A46" s="336"/>
      <c r="B46" s="50"/>
      <c r="C46" s="50"/>
    </row>
    <row r="47" spans="1:5" x14ac:dyDescent="0.25">
      <c r="A47" s="43"/>
      <c r="B47" s="51"/>
    </row>
    <row r="48" spans="1:5" x14ac:dyDescent="0.25">
      <c r="A48" s="75" t="s">
        <v>129</v>
      </c>
      <c r="B48" s="70"/>
      <c r="C48" s="70"/>
      <c r="E48" s="70"/>
    </row>
    <row r="49" spans="1:5" ht="15.45" customHeight="1" x14ac:dyDescent="0.25">
      <c r="A49" s="52" t="s">
        <v>828</v>
      </c>
      <c r="B49" s="53"/>
      <c r="C49" s="53"/>
      <c r="D49" s="53"/>
      <c r="E49" s="53"/>
    </row>
    <row r="50" spans="1:5" ht="15.45" customHeight="1" x14ac:dyDescent="0.25">
      <c r="A50" s="52" t="s">
        <v>829</v>
      </c>
      <c r="B50" s="53"/>
      <c r="C50" s="53"/>
      <c r="D50" s="53"/>
      <c r="E50" s="53"/>
    </row>
    <row r="51" spans="1:5" ht="15.45" customHeight="1" x14ac:dyDescent="0.25">
      <c r="A51" s="7" t="s">
        <v>772</v>
      </c>
      <c r="B51" s="53"/>
      <c r="C51" s="53"/>
      <c r="D51" s="53"/>
      <c r="E51" s="53"/>
    </row>
    <row r="52" spans="1:5" ht="15.45" customHeight="1" x14ac:dyDescent="0.25">
      <c r="A52" s="7"/>
      <c r="B52" s="53"/>
      <c r="C52" s="53"/>
      <c r="D52" s="53"/>
      <c r="E52" s="53"/>
    </row>
    <row r="53" spans="1:5" x14ac:dyDescent="0.25">
      <c r="A53" s="70"/>
      <c r="B53" s="70"/>
      <c r="C53" s="70"/>
      <c r="E53" s="70"/>
    </row>
    <row r="54" spans="1:5" x14ac:dyDescent="0.25">
      <c r="A54" s="75" t="s">
        <v>131</v>
      </c>
      <c r="B54" s="70"/>
      <c r="C54" s="70"/>
      <c r="E54" s="70"/>
    </row>
    <row r="55" spans="1:5" s="38" customFormat="1" x14ac:dyDescent="0.3">
      <c r="A55" s="365" t="s">
        <v>830</v>
      </c>
      <c r="B55" s="365"/>
      <c r="C55" s="365"/>
      <c r="D55" s="365"/>
      <c r="E55" s="365"/>
    </row>
    <row r="56" spans="1:5" s="38" customFormat="1" x14ac:dyDescent="0.3">
      <c r="A56" s="365"/>
      <c r="B56" s="365"/>
      <c r="C56" s="365"/>
      <c r="D56" s="365"/>
      <c r="E56" s="365"/>
    </row>
    <row r="57" spans="1:5" s="38" customFormat="1" x14ac:dyDescent="0.3">
      <c r="A57" s="5" t="s">
        <v>772</v>
      </c>
      <c r="B57" s="34"/>
      <c r="C57" s="34"/>
      <c r="D57" s="34"/>
      <c r="E57" s="34"/>
    </row>
    <row r="58" spans="1:5" s="38" customFormat="1" x14ac:dyDescent="0.25">
      <c r="A58" s="5"/>
      <c r="D58" s="37"/>
    </row>
    <row r="59" spans="1:5" s="38" customFormat="1" x14ac:dyDescent="0.25">
      <c r="D59" s="37"/>
    </row>
    <row r="60" spans="1:5" x14ac:dyDescent="0.25">
      <c r="A60" s="364" t="s">
        <v>1060</v>
      </c>
      <c r="B60" s="364"/>
      <c r="C60" s="364"/>
      <c r="D60" s="364"/>
      <c r="E60" s="364"/>
    </row>
    <row r="61" spans="1:5" x14ac:dyDescent="0.25">
      <c r="A61" s="364"/>
      <c r="B61" s="364"/>
      <c r="C61" s="364"/>
      <c r="D61" s="364"/>
      <c r="E61" s="364"/>
    </row>
  </sheetData>
  <sheetProtection algorithmName="SHA-512" hashValue="eomdxp2RGa9iOdDUwSrNw/65vwLd8UCfsL17ari24BkPV5y63hVBpIfHdejxQ/EuPtGC4FHi25xMxVkmRQhWjw==" saltValue="LqVe/g0Il8YCom6TVkPefg==" spinCount="100000" sheet="1" formatCells="0" formatColumns="0" formatRows="0" insertColumns="0" insertRows="0" insertHyperlinks="0" deleteColumns="0" deleteRows="0" sort="0" autoFilter="0" pivotTables="0"/>
  <mergeCells count="2">
    <mergeCell ref="A55:E56"/>
    <mergeCell ref="A60:E61"/>
  </mergeCells>
  <hyperlinks>
    <hyperlink ref="A2" location="Index!E27" display="[Back to Index]" xr:uid="{A01641E7-C391-4FC9-9494-62D19BF1235A}"/>
  </hyperlinks>
  <pageMargins left="0.7" right="0.7" top="0.75" bottom="0.75" header="0.3" footer="0.3"/>
  <pageSetup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2C3AD-BECD-4AD7-8FA9-AF7165F44E11}">
  <sheetPr codeName="Sheet33">
    <tabColor rgb="FFFFD1FF"/>
  </sheetPr>
  <dimension ref="A1:E65"/>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70" customWidth="1"/>
    <col min="2" max="2" width="27.5546875" style="70" customWidth="1"/>
    <col min="3" max="3" width="27.6640625" style="70" customWidth="1"/>
    <col min="4" max="4" width="95.6640625" style="37" customWidth="1"/>
    <col min="5" max="5" width="40.6640625" style="70" customWidth="1"/>
    <col min="6" max="16384" width="8.6640625" style="37"/>
  </cols>
  <sheetData>
    <row r="1" spans="1:5" s="7" customFormat="1" ht="17.399999999999999" x14ac:dyDescent="0.25">
      <c r="A1" s="112" t="s">
        <v>21</v>
      </c>
      <c r="B1" s="2" t="s">
        <v>73</v>
      </c>
      <c r="C1" s="84">
        <v>3.7664629999999999</v>
      </c>
      <c r="D1" s="4" t="s">
        <v>1045</v>
      </c>
    </row>
    <row r="2" spans="1:5" s="7" customFormat="1" x14ac:dyDescent="0.25">
      <c r="A2" s="324" t="s">
        <v>74</v>
      </c>
      <c r="C2" s="84">
        <v>7.4924000000000004E-2</v>
      </c>
      <c r="D2" s="4" t="s">
        <v>1046</v>
      </c>
    </row>
    <row r="3" spans="1:5" x14ac:dyDescent="0.25">
      <c r="A3" s="35"/>
      <c r="B3" s="174"/>
      <c r="C3" s="175"/>
    </row>
    <row r="4" spans="1:5" s="62" customFormat="1" x14ac:dyDescent="0.3">
      <c r="A4" s="9" t="s">
        <v>75</v>
      </c>
      <c r="B4" s="9" t="s">
        <v>577</v>
      </c>
      <c r="C4" s="9" t="s">
        <v>77</v>
      </c>
      <c r="D4" s="9" t="s">
        <v>78</v>
      </c>
      <c r="E4" s="9" t="s">
        <v>79</v>
      </c>
    </row>
    <row r="5" spans="1:5" s="63" customFormat="1" ht="60" x14ac:dyDescent="0.25">
      <c r="A5" s="22" t="s">
        <v>80</v>
      </c>
      <c r="B5" s="12">
        <f>SUM(B6:B7)</f>
        <v>0</v>
      </c>
      <c r="C5" s="12">
        <f>SUM(C6:C7)</f>
        <v>0</v>
      </c>
      <c r="D5" s="13"/>
      <c r="E5" s="13"/>
    </row>
    <row r="6" spans="1:5" s="63" customFormat="1" ht="99.6" customHeight="1" x14ac:dyDescent="0.25">
      <c r="A6" s="13" t="s">
        <v>81</v>
      </c>
      <c r="B6" s="16"/>
      <c r="C6" s="16"/>
      <c r="D6" s="13"/>
      <c r="E6" s="13"/>
    </row>
    <row r="7" spans="1:5" s="63" customFormat="1" ht="45" x14ac:dyDescent="0.25">
      <c r="A7" s="13" t="s">
        <v>84</v>
      </c>
      <c r="B7" s="17"/>
      <c r="C7" s="17"/>
      <c r="D7" s="13"/>
      <c r="E7" s="13"/>
    </row>
    <row r="8" spans="1:5" ht="30" x14ac:dyDescent="0.25">
      <c r="A8" s="22" t="s">
        <v>87</v>
      </c>
      <c r="B8" s="12">
        <f>SUM(B9:B11)</f>
        <v>105055000000</v>
      </c>
      <c r="C8" s="12">
        <f>SUM(C9:C11)</f>
        <v>633118125.60152388</v>
      </c>
      <c r="D8" s="13"/>
      <c r="E8" s="13"/>
    </row>
    <row r="9" spans="1:5" ht="125.4" customHeight="1" x14ac:dyDescent="0.25">
      <c r="A9" s="13" t="s">
        <v>166</v>
      </c>
      <c r="B9" s="16">
        <f>+(5+100)*10^9</f>
        <v>105000000000</v>
      </c>
      <c r="C9" s="16">
        <f>+B9/$B$36</f>
        <v>632786665.91937566</v>
      </c>
      <c r="D9" s="13" t="s">
        <v>578</v>
      </c>
      <c r="E9" s="13" t="s">
        <v>579</v>
      </c>
    </row>
    <row r="10" spans="1:5" ht="156" customHeight="1" x14ac:dyDescent="0.25">
      <c r="A10" s="13" t="s">
        <v>90</v>
      </c>
      <c r="B10" s="19">
        <f>180000000-125000000</f>
        <v>55000000</v>
      </c>
      <c r="C10" s="16">
        <f>+B10/$B$36</f>
        <v>331459.68214824441</v>
      </c>
      <c r="D10" s="24" t="s">
        <v>580</v>
      </c>
      <c r="E10" s="13" t="s">
        <v>83</v>
      </c>
    </row>
    <row r="11" spans="1:5" x14ac:dyDescent="0.25">
      <c r="A11" s="13" t="s">
        <v>92</v>
      </c>
      <c r="B11" s="16"/>
      <c r="C11" s="16"/>
      <c r="D11" s="13"/>
      <c r="E11" s="13"/>
    </row>
    <row r="12" spans="1:5" ht="45" x14ac:dyDescent="0.25">
      <c r="A12" s="22" t="s">
        <v>93</v>
      </c>
      <c r="B12" s="12">
        <f>SUM(B13:B14)</f>
        <v>0</v>
      </c>
      <c r="C12" s="12">
        <f>SUM(C13:C14)</f>
        <v>0</v>
      </c>
      <c r="D12" s="13"/>
      <c r="E12" s="13"/>
    </row>
    <row r="13" spans="1:5" ht="45" x14ac:dyDescent="0.25">
      <c r="A13" s="13" t="s">
        <v>171</v>
      </c>
      <c r="B13" s="16"/>
      <c r="C13" s="16"/>
      <c r="D13" s="13"/>
      <c r="E13" s="13"/>
    </row>
    <row r="14" spans="1:5" ht="45" x14ac:dyDescent="0.25">
      <c r="A14" s="13" t="s">
        <v>96</v>
      </c>
      <c r="B14" s="16"/>
      <c r="C14" s="16"/>
      <c r="D14" s="13" t="s">
        <v>581</v>
      </c>
      <c r="E14" s="13" t="s">
        <v>579</v>
      </c>
    </row>
    <row r="15" spans="1:5" ht="45" x14ac:dyDescent="0.25">
      <c r="A15" s="22" t="s">
        <v>97</v>
      </c>
      <c r="B15" s="12"/>
      <c r="C15" s="12"/>
      <c r="D15" s="13"/>
      <c r="E15" s="13"/>
    </row>
    <row r="16" spans="1:5" ht="240.6" customHeight="1" x14ac:dyDescent="0.25">
      <c r="A16" s="22" t="s">
        <v>98</v>
      </c>
      <c r="B16" s="207">
        <f>+(200+150+100+100+280+50+70+15+110+100+25+18+1.5+1.5)*10^9</f>
        <v>1221000000000</v>
      </c>
      <c r="C16" s="20">
        <f>+B16/$B$36</f>
        <v>7358404943.6910257</v>
      </c>
      <c r="D16" s="65" t="s">
        <v>582</v>
      </c>
      <c r="E16" s="13" t="s">
        <v>83</v>
      </c>
    </row>
    <row r="17" spans="1:5" x14ac:dyDescent="0.25">
      <c r="A17" s="13" t="s">
        <v>99</v>
      </c>
      <c r="B17" s="208"/>
      <c r="C17" s="16"/>
      <c r="D17" s="64"/>
      <c r="E17" s="13"/>
    </row>
    <row r="18" spans="1:5" x14ac:dyDescent="0.25">
      <c r="A18" s="13" t="s">
        <v>101</v>
      </c>
      <c r="B18" s="16"/>
      <c r="C18" s="16"/>
      <c r="D18" s="65"/>
      <c r="E18" s="13"/>
    </row>
    <row r="19" spans="1:5" ht="30" x14ac:dyDescent="0.25">
      <c r="A19" s="22" t="s">
        <v>103</v>
      </c>
      <c r="B19" s="16"/>
      <c r="C19" s="16"/>
      <c r="D19" s="64"/>
      <c r="E19" s="66"/>
    </row>
    <row r="20" spans="1:5" x14ac:dyDescent="0.25">
      <c r="A20" s="13" t="s">
        <v>104</v>
      </c>
      <c r="B20" s="16"/>
      <c r="C20" s="16"/>
      <c r="D20" s="13"/>
      <c r="E20" s="66"/>
    </row>
    <row r="21" spans="1:5" ht="30" x14ac:dyDescent="0.25">
      <c r="A21" s="22" t="s">
        <v>105</v>
      </c>
      <c r="B21" s="12">
        <f>SUM(B22,B24)</f>
        <v>0</v>
      </c>
      <c r="C21" s="12">
        <f>SUM(C22,C24)</f>
        <v>0</v>
      </c>
      <c r="D21" s="13"/>
      <c r="E21" s="13"/>
    </row>
    <row r="22" spans="1:5" x14ac:dyDescent="0.25">
      <c r="A22" s="22" t="s">
        <v>108</v>
      </c>
      <c r="B22" s="16"/>
      <c r="C22" s="16"/>
      <c r="D22" s="13"/>
      <c r="E22" s="13"/>
    </row>
    <row r="23" spans="1:5" x14ac:dyDescent="0.25">
      <c r="A23" s="13" t="s">
        <v>109</v>
      </c>
      <c r="B23" s="16"/>
      <c r="C23" s="16"/>
      <c r="D23" s="13"/>
      <c r="E23" s="13"/>
    </row>
    <row r="24" spans="1:5" x14ac:dyDescent="0.25">
      <c r="A24" s="22" t="s">
        <v>110</v>
      </c>
      <c r="B24" s="16"/>
      <c r="C24" s="16"/>
      <c r="D24" s="24"/>
      <c r="E24" s="13"/>
    </row>
    <row r="25" spans="1:5" x14ac:dyDescent="0.25">
      <c r="A25" s="13" t="s">
        <v>109</v>
      </c>
      <c r="B25" s="16"/>
      <c r="C25" s="16"/>
      <c r="D25" s="13"/>
      <c r="E25" s="13"/>
    </row>
    <row r="26" spans="1:5" x14ac:dyDescent="0.25">
      <c r="A26" s="22" t="s">
        <v>111</v>
      </c>
      <c r="B26" s="12">
        <f>SUM(B27:B29)</f>
        <v>8713126077</v>
      </c>
      <c r="C26" s="12">
        <f>SUM(C27:C29)</f>
        <v>52510000</v>
      </c>
      <c r="D26" s="13"/>
      <c r="E26" s="13"/>
    </row>
    <row r="27" spans="1:5" x14ac:dyDescent="0.25">
      <c r="A27" s="13" t="s">
        <v>112</v>
      </c>
      <c r="B27" s="16"/>
      <c r="C27" s="16"/>
      <c r="D27" s="13"/>
      <c r="E27" s="13"/>
    </row>
    <row r="28" spans="1:5" x14ac:dyDescent="0.25">
      <c r="A28" s="13" t="s">
        <v>115</v>
      </c>
      <c r="B28" s="16"/>
      <c r="C28" s="16"/>
      <c r="D28" s="13"/>
      <c r="E28" s="13"/>
    </row>
    <row r="29" spans="1:5" x14ac:dyDescent="0.25">
      <c r="A29" s="13" t="s">
        <v>116</v>
      </c>
      <c r="B29" s="16">
        <f>SUM(B30:B31)</f>
        <v>8713126077</v>
      </c>
      <c r="C29" s="16">
        <f>SUM(C30:C31)</f>
        <v>52510000</v>
      </c>
      <c r="D29" s="13"/>
      <c r="E29" s="13"/>
    </row>
    <row r="30" spans="1:5" ht="81.599999999999994" customHeight="1" x14ac:dyDescent="0.25">
      <c r="A30" s="13" t="s">
        <v>117</v>
      </c>
      <c r="B30" s="19">
        <f>+C30*B36</f>
        <v>8713126077</v>
      </c>
      <c r="C30" s="19">
        <f>+(0.5+0.01+2+50)*10^6</f>
        <v>52510000</v>
      </c>
      <c r="D30" s="24" t="s">
        <v>583</v>
      </c>
      <c r="E30" s="24" t="s">
        <v>209</v>
      </c>
    </row>
    <row r="31" spans="1:5" x14ac:dyDescent="0.25">
      <c r="A31" s="13" t="s">
        <v>118</v>
      </c>
      <c r="B31" s="16"/>
      <c r="C31" s="16"/>
      <c r="D31" s="13"/>
      <c r="E31" s="13"/>
    </row>
    <row r="32" spans="1:5" x14ac:dyDescent="0.25">
      <c r="A32" s="22" t="s">
        <v>119</v>
      </c>
      <c r="B32" s="67"/>
      <c r="C32" s="16"/>
      <c r="D32" s="13"/>
      <c r="E32" s="13"/>
    </row>
    <row r="33" spans="1:5" x14ac:dyDescent="0.25">
      <c r="A33" s="35"/>
      <c r="B33" s="176"/>
      <c r="C33" s="176"/>
      <c r="D33" s="33"/>
      <c r="E33" s="33"/>
    </row>
    <row r="34" spans="1:5" x14ac:dyDescent="0.25">
      <c r="A34" s="35" t="s">
        <v>120</v>
      </c>
      <c r="B34" s="71">
        <f>SUM(B5,B8,B12,B15,B16,B32)</f>
        <v>1326055000000</v>
      </c>
      <c r="C34" s="71">
        <f>SUM(C5,C8,C12,C15,C16,C32)</f>
        <v>7991523069.2925491</v>
      </c>
    </row>
    <row r="35" spans="1:5" x14ac:dyDescent="0.25">
      <c r="A35" s="35"/>
      <c r="B35" s="71"/>
      <c r="C35" s="72"/>
    </row>
    <row r="36" spans="1:5" x14ac:dyDescent="0.25">
      <c r="A36" s="35" t="s">
        <v>121</v>
      </c>
      <c r="B36" s="177">
        <v>165.93270000000001</v>
      </c>
      <c r="C36" s="74"/>
    </row>
    <row r="37" spans="1:5" x14ac:dyDescent="0.25">
      <c r="A37" s="75" t="s">
        <v>122</v>
      </c>
      <c r="B37" s="179">
        <v>38558770000000</v>
      </c>
      <c r="C37" s="179">
        <v>284214000000</v>
      </c>
      <c r="D37" s="209"/>
    </row>
    <row r="38" spans="1:5" x14ac:dyDescent="0.25">
      <c r="A38" s="75" t="s">
        <v>123</v>
      </c>
      <c r="B38" s="179">
        <v>212215030</v>
      </c>
      <c r="C38" s="77"/>
    </row>
    <row r="39" spans="1:5" x14ac:dyDescent="0.25">
      <c r="A39" s="75"/>
      <c r="B39" s="76"/>
      <c r="C39" s="76"/>
    </row>
    <row r="40" spans="1:5" x14ac:dyDescent="0.25">
      <c r="A40" s="7"/>
      <c r="B40" s="46" t="s">
        <v>584</v>
      </c>
      <c r="C40" s="47" t="s">
        <v>125</v>
      </c>
    </row>
    <row r="41" spans="1:5" x14ac:dyDescent="0.25">
      <c r="A41" s="75" t="s">
        <v>126</v>
      </c>
      <c r="B41" s="48">
        <f>$B37/$B38</f>
        <v>181696.69697758919</v>
      </c>
      <c r="C41" s="48">
        <f>$C37/$B38</f>
        <v>1339.2736603057756</v>
      </c>
    </row>
    <row r="42" spans="1:5" x14ac:dyDescent="0.25">
      <c r="A42" s="75" t="s">
        <v>127</v>
      </c>
      <c r="B42" s="49">
        <f>($B34/$B37)*100</f>
        <v>3.4390490153083202</v>
      </c>
      <c r="C42" s="49"/>
    </row>
    <row r="43" spans="1:5" x14ac:dyDescent="0.25">
      <c r="A43" s="75" t="s">
        <v>128</v>
      </c>
      <c r="B43" s="78">
        <f>B34/B38</f>
        <v>6248.6384682555235</v>
      </c>
      <c r="C43" s="78">
        <f>C34/B38</f>
        <v>37.657667646313975</v>
      </c>
    </row>
    <row r="44" spans="1:5" x14ac:dyDescent="0.25">
      <c r="A44" s="75"/>
      <c r="B44" s="78"/>
      <c r="C44" s="78"/>
    </row>
    <row r="45" spans="1:5" x14ac:dyDescent="0.25">
      <c r="A45" s="336" t="s">
        <v>1055</v>
      </c>
      <c r="B45" s="78"/>
      <c r="C45" s="78"/>
    </row>
    <row r="46" spans="1:5" x14ac:dyDescent="0.25">
      <c r="A46" s="336"/>
      <c r="B46" s="78"/>
      <c r="C46" s="78"/>
    </row>
    <row r="47" spans="1:5" x14ac:dyDescent="0.25">
      <c r="A47" s="75"/>
      <c r="B47" s="79"/>
    </row>
    <row r="48" spans="1:5" x14ac:dyDescent="0.25">
      <c r="A48" s="75" t="s">
        <v>129</v>
      </c>
    </row>
    <row r="49" spans="1:5" ht="15.45" customHeight="1" x14ac:dyDescent="0.25">
      <c r="A49" s="52" t="s">
        <v>585</v>
      </c>
      <c r="B49" s="53"/>
      <c r="C49" s="53"/>
      <c r="D49" s="53"/>
      <c r="E49" s="53"/>
    </row>
    <row r="50" spans="1:5" ht="15.45" customHeight="1" x14ac:dyDescent="0.25">
      <c r="A50" s="7" t="s">
        <v>469</v>
      </c>
      <c r="B50" s="53"/>
      <c r="C50" s="53"/>
      <c r="D50" s="53"/>
      <c r="E50" s="53"/>
    </row>
    <row r="51" spans="1:5" ht="15.45" customHeight="1" x14ac:dyDescent="0.25">
      <c r="A51" s="53"/>
      <c r="B51" s="53"/>
      <c r="C51" s="53"/>
      <c r="D51" s="53"/>
      <c r="E51" s="53"/>
    </row>
    <row r="53" spans="1:5" x14ac:dyDescent="0.25">
      <c r="A53" s="75" t="s">
        <v>131</v>
      </c>
    </row>
    <row r="54" spans="1:5" s="70" customFormat="1" x14ac:dyDescent="0.25">
      <c r="A54" s="54" t="s">
        <v>586</v>
      </c>
      <c r="B54" s="37"/>
      <c r="C54" s="147"/>
      <c r="D54" s="37"/>
      <c r="E54" s="37"/>
    </row>
    <row r="55" spans="1:5" s="70" customFormat="1" x14ac:dyDescent="0.25">
      <c r="A55" s="54" t="s">
        <v>587</v>
      </c>
      <c r="B55" s="37"/>
      <c r="C55" s="147"/>
      <c r="D55" s="37"/>
      <c r="E55" s="37"/>
    </row>
    <row r="56" spans="1:5" s="70" customFormat="1" x14ac:dyDescent="0.25">
      <c r="A56" s="54" t="s">
        <v>588</v>
      </c>
      <c r="B56" s="37"/>
      <c r="C56" s="147"/>
      <c r="D56" s="37"/>
      <c r="E56" s="37"/>
    </row>
    <row r="57" spans="1:5" s="70" customFormat="1" x14ac:dyDescent="0.25">
      <c r="A57" s="54" t="s">
        <v>589</v>
      </c>
      <c r="B57" s="37"/>
      <c r="C57" s="147"/>
      <c r="D57" s="37"/>
      <c r="E57" s="37"/>
    </row>
    <row r="58" spans="1:5" s="70" customFormat="1" x14ac:dyDescent="0.25">
      <c r="A58" s="54" t="s">
        <v>590</v>
      </c>
      <c r="B58" s="37"/>
      <c r="C58" s="147"/>
      <c r="D58" s="37"/>
      <c r="E58" s="37"/>
    </row>
    <row r="59" spans="1:5" s="70" customFormat="1" x14ac:dyDescent="0.3">
      <c r="A59" s="54" t="s">
        <v>591</v>
      </c>
      <c r="B59" s="33"/>
      <c r="C59" s="33"/>
      <c r="D59" s="33"/>
      <c r="E59" s="33"/>
    </row>
    <row r="60" spans="1:5" s="70" customFormat="1" x14ac:dyDescent="0.25">
      <c r="A60" s="54" t="s">
        <v>592</v>
      </c>
      <c r="D60" s="37"/>
    </row>
    <row r="61" spans="1:5" s="70" customFormat="1" x14ac:dyDescent="0.25">
      <c r="A61" s="7" t="s">
        <v>593</v>
      </c>
      <c r="D61" s="37"/>
    </row>
    <row r="62" spans="1:5" s="70" customFormat="1" x14ac:dyDescent="0.25">
      <c r="A62" s="7"/>
      <c r="D62" s="37"/>
    </row>
    <row r="63" spans="1:5" s="70" customFormat="1" x14ac:dyDescent="0.25">
      <c r="A63" s="7"/>
      <c r="D63" s="37"/>
    </row>
    <row r="64" spans="1:5" x14ac:dyDescent="0.25">
      <c r="A64" s="367" t="s">
        <v>1060</v>
      </c>
      <c r="B64" s="367"/>
      <c r="C64" s="367"/>
      <c r="D64" s="367"/>
      <c r="E64" s="367"/>
    </row>
    <row r="65" spans="1:5" x14ac:dyDescent="0.25">
      <c r="A65" s="367"/>
      <c r="B65" s="367"/>
      <c r="C65" s="367"/>
      <c r="D65" s="367"/>
      <c r="E65" s="367"/>
    </row>
  </sheetData>
  <sheetProtection algorithmName="SHA-512" hashValue="s3EjaIZvZVD2LMSupLPK0Fq8Kjho5RNvkomqDXJo2aFdD60ti/VYIUlY8LT9NIFNuba/SSroLL1G7lEm++TJaw==" saltValue="MnFKo4s2+H7uO4M6RjI8gQ==" spinCount="100000" sheet="1" formatCells="0" formatColumns="0" formatRows="0" insertColumns="0" insertRows="0" insertHyperlinks="0" deleteColumns="0" deleteRows="0" sort="0" autoFilter="0" pivotTables="0"/>
  <mergeCells count="1">
    <mergeCell ref="A64:E65"/>
  </mergeCells>
  <hyperlinks>
    <hyperlink ref="A2" location="Index!E28" display="[Back to Index]" xr:uid="{A768D5E9-F764-4A35-B4DB-143F030BE915}"/>
  </hyperlinks>
  <pageMargins left="0.7" right="0.7"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FFEE-3010-4FF2-802D-89E5EF14D14F}">
  <sheetPr codeName="Sheet34">
    <tabColor rgb="FFFFD1FF"/>
  </sheetPr>
  <dimension ref="A1:S59"/>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88671875" defaultRowHeight="15" x14ac:dyDescent="0.25"/>
  <cols>
    <col min="1" max="1" width="48.88671875" style="38" customWidth="1"/>
    <col min="2" max="3" width="27.5546875" style="38" customWidth="1"/>
    <col min="4" max="4" width="95.5546875" style="37" customWidth="1"/>
    <col min="5" max="5" width="40.5546875" style="38" customWidth="1"/>
    <col min="6" max="19" width="8.88671875" style="37"/>
    <col min="20" max="16384" width="8.88671875" style="18"/>
  </cols>
  <sheetData>
    <row r="1" spans="1:19" s="5" customFormat="1" ht="17.399999999999999" x14ac:dyDescent="0.25">
      <c r="A1" s="112" t="s">
        <v>24</v>
      </c>
      <c r="B1" s="2" t="s">
        <v>234</v>
      </c>
      <c r="C1" s="84">
        <v>0</v>
      </c>
      <c r="D1" s="4" t="s">
        <v>1045</v>
      </c>
      <c r="F1" s="7"/>
      <c r="G1" s="7"/>
      <c r="H1" s="7"/>
      <c r="I1" s="7"/>
      <c r="J1" s="7"/>
      <c r="K1" s="7"/>
      <c r="L1" s="7"/>
      <c r="M1" s="7"/>
      <c r="N1" s="7"/>
      <c r="O1" s="7"/>
      <c r="P1" s="7"/>
      <c r="Q1" s="7"/>
      <c r="R1" s="7"/>
      <c r="S1" s="7"/>
    </row>
    <row r="2" spans="1:19" s="5" customFormat="1" x14ac:dyDescent="0.25">
      <c r="A2" s="324" t="s">
        <v>74</v>
      </c>
      <c r="C2" s="84">
        <v>0</v>
      </c>
      <c r="D2" s="4" t="s">
        <v>1046</v>
      </c>
      <c r="F2" s="7"/>
      <c r="G2" s="7"/>
      <c r="H2" s="7"/>
      <c r="I2" s="7"/>
      <c r="J2" s="7"/>
      <c r="K2" s="7"/>
      <c r="L2" s="7"/>
      <c r="M2" s="7"/>
      <c r="N2" s="7"/>
      <c r="O2" s="7"/>
      <c r="P2" s="7"/>
      <c r="Q2" s="7"/>
      <c r="R2" s="7"/>
      <c r="S2" s="7"/>
    </row>
    <row r="3" spans="1:19" x14ac:dyDescent="0.25">
      <c r="A3" s="154"/>
      <c r="B3" s="222"/>
      <c r="C3" s="142"/>
    </row>
    <row r="4" spans="1:19" s="10" customFormat="1" x14ac:dyDescent="0.3">
      <c r="A4" s="8" t="s">
        <v>75</v>
      </c>
      <c r="B4" s="9" t="s">
        <v>924</v>
      </c>
      <c r="C4" s="9" t="s">
        <v>77</v>
      </c>
      <c r="D4" s="9" t="s">
        <v>78</v>
      </c>
      <c r="E4" s="8" t="s">
        <v>79</v>
      </c>
      <c r="F4" s="62"/>
      <c r="G4" s="62"/>
      <c r="H4" s="62"/>
      <c r="I4" s="62"/>
      <c r="J4" s="62"/>
      <c r="K4" s="62"/>
      <c r="L4" s="62"/>
      <c r="M4" s="62"/>
      <c r="N4" s="62"/>
      <c r="O4" s="62"/>
      <c r="P4" s="62"/>
      <c r="Q4" s="62"/>
      <c r="R4" s="62"/>
      <c r="S4" s="62"/>
    </row>
    <row r="5" spans="1:19" s="15" customFormat="1" ht="60" x14ac:dyDescent="0.25">
      <c r="A5" s="11" t="s">
        <v>80</v>
      </c>
      <c r="B5" s="16">
        <f>SUM(B6:B7)</f>
        <v>0</v>
      </c>
      <c r="C5" s="16">
        <f>SUM(C6:C7)</f>
        <v>0</v>
      </c>
      <c r="D5" s="274"/>
      <c r="E5" s="14"/>
      <c r="F5" s="63"/>
      <c r="G5" s="63"/>
      <c r="H5" s="63"/>
      <c r="I5" s="63"/>
      <c r="J5" s="63"/>
      <c r="K5" s="63"/>
      <c r="L5" s="63"/>
      <c r="M5" s="63"/>
      <c r="N5" s="63"/>
      <c r="O5" s="63"/>
      <c r="P5" s="63"/>
      <c r="Q5" s="63"/>
      <c r="R5" s="63"/>
      <c r="S5" s="63"/>
    </row>
    <row r="6" spans="1:19" s="15" customFormat="1" ht="45" x14ac:dyDescent="0.25">
      <c r="A6" s="14" t="s">
        <v>81</v>
      </c>
      <c r="B6" s="16"/>
      <c r="C6" s="16"/>
      <c r="D6" s="13"/>
      <c r="E6" s="14"/>
      <c r="F6" s="63"/>
      <c r="G6" s="63"/>
      <c r="H6" s="63"/>
      <c r="I6" s="63"/>
      <c r="J6" s="63"/>
      <c r="K6" s="63"/>
      <c r="L6" s="63"/>
      <c r="M6" s="63"/>
      <c r="N6" s="63"/>
      <c r="O6" s="63"/>
      <c r="P6" s="63"/>
      <c r="Q6" s="63"/>
      <c r="R6" s="63"/>
      <c r="S6" s="63"/>
    </row>
    <row r="7" spans="1:19" s="15" customFormat="1" ht="45" x14ac:dyDescent="0.25">
      <c r="A7" s="14" t="s">
        <v>84</v>
      </c>
      <c r="B7" s="17"/>
      <c r="C7" s="17"/>
      <c r="D7" s="274" t="s">
        <v>925</v>
      </c>
      <c r="E7" s="260" t="s">
        <v>846</v>
      </c>
      <c r="F7" s="63"/>
      <c r="G7" s="63"/>
      <c r="H7" s="63"/>
      <c r="I7" s="63"/>
      <c r="J7" s="63"/>
      <c r="K7" s="63"/>
      <c r="L7" s="63"/>
      <c r="M7" s="63"/>
      <c r="N7" s="63"/>
      <c r="O7" s="63"/>
      <c r="P7" s="63"/>
      <c r="Q7" s="63"/>
      <c r="R7" s="63"/>
      <c r="S7" s="63"/>
    </row>
    <row r="8" spans="1:19" ht="30" x14ac:dyDescent="0.25">
      <c r="A8" s="11" t="s">
        <v>87</v>
      </c>
      <c r="B8" s="16">
        <f>SUM(B9:B11)</f>
        <v>0</v>
      </c>
      <c r="C8" s="16">
        <f>SUM(C9:C11)</f>
        <v>0</v>
      </c>
      <c r="D8" s="13"/>
      <c r="E8" s="14"/>
    </row>
    <row r="9" spans="1:19" ht="60" x14ac:dyDescent="0.25">
      <c r="A9" s="14" t="s">
        <v>88</v>
      </c>
      <c r="B9" s="16"/>
      <c r="C9" s="16"/>
      <c r="E9" s="14"/>
    </row>
    <row r="10" spans="1:19" ht="52.2" customHeight="1" x14ac:dyDescent="0.25">
      <c r="A10" s="14" t="s">
        <v>90</v>
      </c>
      <c r="B10" s="16"/>
      <c r="C10" s="16"/>
      <c r="D10" s="275"/>
      <c r="E10" s="260"/>
    </row>
    <row r="11" spans="1:19" x14ac:dyDescent="0.25">
      <c r="A11" s="14" t="s">
        <v>92</v>
      </c>
      <c r="B11" s="16"/>
      <c r="C11" s="16"/>
      <c r="D11" s="13"/>
      <c r="E11" s="14"/>
    </row>
    <row r="12" spans="1:19" ht="45" x14ac:dyDescent="0.25">
      <c r="A12" s="11" t="s">
        <v>93</v>
      </c>
      <c r="B12" s="97">
        <f>SUM(B13:B14)</f>
        <v>0</v>
      </c>
      <c r="C12" s="16">
        <f>SUM(C13:C14)</f>
        <v>0</v>
      </c>
      <c r="D12" s="13"/>
      <c r="E12" s="14"/>
    </row>
    <row r="13" spans="1:19" ht="45" x14ac:dyDescent="0.25">
      <c r="A13" s="14" t="s">
        <v>94</v>
      </c>
      <c r="B13" s="23"/>
      <c r="C13" s="23"/>
      <c r="D13" s="274"/>
      <c r="E13" s="14"/>
    </row>
    <row r="14" spans="1:19" x14ac:dyDescent="0.25">
      <c r="A14" s="14" t="s">
        <v>96</v>
      </c>
      <c r="B14" s="16"/>
      <c r="C14" s="16"/>
      <c r="D14" s="13"/>
      <c r="E14" s="14"/>
    </row>
    <row r="15" spans="1:19" ht="45" x14ac:dyDescent="0.25">
      <c r="A15" s="11" t="s">
        <v>97</v>
      </c>
      <c r="B15" s="12">
        <v>0</v>
      </c>
      <c r="C15" s="12">
        <v>0</v>
      </c>
      <c r="D15" s="13"/>
      <c r="E15" s="14"/>
    </row>
    <row r="16" spans="1:19" ht="30" x14ac:dyDescent="0.25">
      <c r="A16" s="11" t="s">
        <v>98</v>
      </c>
      <c r="B16" s="16">
        <f>SUM(B17:B18)</f>
        <v>0</v>
      </c>
      <c r="C16" s="16">
        <f>SUM(C17:C18)</f>
        <v>0</v>
      </c>
      <c r="D16" s="13"/>
      <c r="E16" s="14"/>
    </row>
    <row r="17" spans="1:5" x14ac:dyDescent="0.25">
      <c r="A17" s="13" t="s">
        <v>99</v>
      </c>
      <c r="B17" s="85"/>
      <c r="C17" s="23"/>
      <c r="D17" s="274"/>
      <c r="E17" s="14"/>
    </row>
    <row r="18" spans="1:5" ht="145.35" customHeight="1" x14ac:dyDescent="0.25">
      <c r="A18" s="13" t="s">
        <v>101</v>
      </c>
      <c r="B18" s="23"/>
      <c r="C18" s="23"/>
      <c r="D18" s="275"/>
      <c r="E18" s="13"/>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107242936.99070369</v>
      </c>
      <c r="C26" s="12">
        <f>SUM(C27:C29)</f>
        <v>10840740.740740741</v>
      </c>
      <c r="D26" s="13"/>
      <c r="E26" s="14"/>
    </row>
    <row r="27" spans="1:5" x14ac:dyDescent="0.25">
      <c r="A27" s="13" t="s">
        <v>112</v>
      </c>
      <c r="B27" s="16"/>
      <c r="C27" s="16"/>
      <c r="D27" s="13"/>
      <c r="E27" s="14"/>
    </row>
    <row r="28" spans="1:5" ht="45" x14ac:dyDescent="0.25">
      <c r="A28" s="13" t="s">
        <v>115</v>
      </c>
      <c r="B28" s="16"/>
      <c r="C28" s="16"/>
      <c r="D28" s="274" t="s">
        <v>926</v>
      </c>
      <c r="E28" s="260" t="s">
        <v>846</v>
      </c>
    </row>
    <row r="29" spans="1:5" x14ac:dyDescent="0.25">
      <c r="A29" s="13" t="s">
        <v>116</v>
      </c>
      <c r="B29" s="16">
        <f>SUM(B30:B31)</f>
        <v>107242936.99070369</v>
      </c>
      <c r="C29" s="16">
        <f>SUM(C30:C31)</f>
        <v>10840740.740740741</v>
      </c>
      <c r="D29" s="13"/>
      <c r="E29" s="14"/>
    </row>
    <row r="30" spans="1:5" x14ac:dyDescent="0.25">
      <c r="A30" s="13" t="s">
        <v>117</v>
      </c>
      <c r="B30" s="16">
        <f>C30*B36</f>
        <v>989258.38699999987</v>
      </c>
      <c r="C30" s="16">
        <f>100000</f>
        <v>100000</v>
      </c>
      <c r="D30" s="18" t="s">
        <v>927</v>
      </c>
      <c r="E30" s="24" t="s">
        <v>209</v>
      </c>
    </row>
    <row r="31" spans="1:5" ht="75" x14ac:dyDescent="0.25">
      <c r="A31" s="13" t="s">
        <v>118</v>
      </c>
      <c r="B31" s="16">
        <f>+C31*B36</f>
        <v>106253678.60370369</v>
      </c>
      <c r="C31" s="16">
        <f>(7.83*10^6)/0.729</f>
        <v>10740740.740740741</v>
      </c>
      <c r="D31" s="13" t="s">
        <v>928</v>
      </c>
      <c r="E31" s="260" t="s">
        <v>846</v>
      </c>
    </row>
    <row r="32" spans="1:5" x14ac:dyDescent="0.25">
      <c r="A32" s="11" t="s">
        <v>119</v>
      </c>
      <c r="B32" s="12">
        <f>C32*B36</f>
        <v>0</v>
      </c>
      <c r="C32" s="12">
        <f>D32*C36</f>
        <v>0</v>
      </c>
      <c r="D32" s="13"/>
      <c r="E32" s="14"/>
    </row>
    <row r="33" spans="1:5" x14ac:dyDescent="0.25">
      <c r="A33" s="31"/>
      <c r="B33" s="120"/>
      <c r="C33" s="120"/>
      <c r="D33" s="33"/>
      <c r="E33" s="34"/>
    </row>
    <row r="34" spans="1:5" x14ac:dyDescent="0.25">
      <c r="A34" s="35" t="s">
        <v>120</v>
      </c>
      <c r="B34" s="265">
        <f>(SUM(B5,B8,B12,B15,B16,B32))</f>
        <v>0</v>
      </c>
      <c r="C34" s="265">
        <f>(SUM(C5,C8,C12,C15,C16,C32))</f>
        <v>0</v>
      </c>
    </row>
    <row r="35" spans="1:5" ht="15.6" x14ac:dyDescent="0.3">
      <c r="A35" s="31"/>
      <c r="B35" s="39"/>
      <c r="C35" s="40"/>
      <c r="D35"/>
    </row>
    <row r="36" spans="1:5" x14ac:dyDescent="0.25">
      <c r="A36" s="31" t="s">
        <v>121</v>
      </c>
      <c r="B36" s="268">
        <v>9.8925838699999993</v>
      </c>
      <c r="C36" s="42"/>
    </row>
    <row r="37" spans="1:5" x14ac:dyDescent="0.25">
      <c r="A37" s="43" t="s">
        <v>122</v>
      </c>
      <c r="B37" s="269">
        <v>77705000000</v>
      </c>
      <c r="C37" s="269">
        <v>8152000000</v>
      </c>
    </row>
    <row r="38" spans="1:5" x14ac:dyDescent="0.25">
      <c r="A38" s="43" t="s">
        <v>123</v>
      </c>
      <c r="B38" s="269">
        <v>9100837</v>
      </c>
      <c r="C38" s="152"/>
    </row>
    <row r="39" spans="1:5" x14ac:dyDescent="0.25">
      <c r="A39" s="43"/>
      <c r="B39" s="44"/>
      <c r="C39" s="44"/>
    </row>
    <row r="40" spans="1:5" x14ac:dyDescent="0.25">
      <c r="A40" s="5"/>
      <c r="B40" s="46" t="s">
        <v>929</v>
      </c>
      <c r="C40" s="47" t="s">
        <v>125</v>
      </c>
    </row>
    <row r="41" spans="1:5" x14ac:dyDescent="0.25">
      <c r="A41" s="43" t="s">
        <v>126</v>
      </c>
      <c r="B41" s="269">
        <f>$B37/$B38</f>
        <v>8538.22565990359</v>
      </c>
      <c r="C41" s="269">
        <f>$C37/$B38</f>
        <v>895.74178726638002</v>
      </c>
    </row>
    <row r="42" spans="1:5" x14ac:dyDescent="0.25">
      <c r="A42" s="43" t="s">
        <v>127</v>
      </c>
      <c r="B42" s="265">
        <f>($B34/$B37)*100</f>
        <v>0</v>
      </c>
      <c r="C42" s="265"/>
    </row>
    <row r="43" spans="1:5" x14ac:dyDescent="0.25">
      <c r="A43" s="43" t="s">
        <v>128</v>
      </c>
      <c r="B43" s="265">
        <f>B34/B38</f>
        <v>0</v>
      </c>
      <c r="C43" s="265">
        <f>C34/B38</f>
        <v>0</v>
      </c>
    </row>
    <row r="44" spans="1:5" x14ac:dyDescent="0.25">
      <c r="A44" s="43"/>
      <c r="B44" s="50"/>
      <c r="C44" s="50"/>
    </row>
    <row r="45" spans="1:5" x14ac:dyDescent="0.25">
      <c r="A45" s="336" t="s">
        <v>1055</v>
      </c>
      <c r="B45" s="50"/>
      <c r="C45" s="50"/>
    </row>
    <row r="46" spans="1:5" x14ac:dyDescent="0.25">
      <c r="A46" s="336"/>
      <c r="B46" s="50"/>
      <c r="C46" s="50"/>
    </row>
    <row r="47" spans="1:5" x14ac:dyDescent="0.25">
      <c r="A47" s="43"/>
      <c r="B47" s="51"/>
    </row>
    <row r="48" spans="1:5" x14ac:dyDescent="0.25">
      <c r="A48" s="43" t="s">
        <v>129</v>
      </c>
    </row>
    <row r="49" spans="1:19" ht="15.6" customHeight="1" x14ac:dyDescent="0.25">
      <c r="A49" s="292" t="s">
        <v>930</v>
      </c>
      <c r="B49" s="53"/>
      <c r="C49" s="53"/>
      <c r="D49" s="53"/>
      <c r="E49" s="53"/>
    </row>
    <row r="50" spans="1:19" ht="15.6" customHeight="1" x14ac:dyDescent="0.25">
      <c r="A50" s="188" t="s">
        <v>931</v>
      </c>
      <c r="B50" s="53"/>
      <c r="C50" s="53"/>
      <c r="D50" s="53"/>
      <c r="E50" s="53"/>
    </row>
    <row r="52" spans="1:19" x14ac:dyDescent="0.25">
      <c r="A52" s="43" t="s">
        <v>131</v>
      </c>
    </row>
    <row r="53" spans="1:19" s="38" customFormat="1" ht="15.6" customHeight="1" x14ac:dyDescent="0.3">
      <c r="A53" s="292" t="s">
        <v>932</v>
      </c>
      <c r="B53" s="292"/>
      <c r="C53" s="292"/>
      <c r="D53" s="292"/>
      <c r="E53" s="292"/>
      <c r="F53" s="70"/>
      <c r="G53" s="70"/>
      <c r="H53" s="70"/>
      <c r="I53" s="70"/>
      <c r="J53" s="70"/>
      <c r="K53" s="70"/>
      <c r="L53" s="70"/>
      <c r="M53" s="70"/>
      <c r="N53" s="70"/>
      <c r="O53" s="70"/>
      <c r="P53" s="70"/>
      <c r="Q53" s="70"/>
      <c r="R53" s="70"/>
      <c r="S53" s="70"/>
    </row>
    <row r="54" spans="1:19" x14ac:dyDescent="0.25">
      <c r="A54" s="292" t="s">
        <v>933</v>
      </c>
      <c r="B54" s="292"/>
      <c r="C54" s="292"/>
      <c r="D54" s="292"/>
      <c r="E54" s="292"/>
    </row>
    <row r="55" spans="1:19" s="38" customFormat="1" x14ac:dyDescent="0.25">
      <c r="A55" s="188" t="s">
        <v>931</v>
      </c>
      <c r="B55" s="37"/>
      <c r="C55" s="147"/>
      <c r="D55" s="37"/>
      <c r="E55" s="37"/>
      <c r="F55" s="70"/>
      <c r="G55" s="70"/>
      <c r="H55" s="70"/>
      <c r="I55" s="70"/>
      <c r="J55" s="70"/>
      <c r="K55" s="70"/>
      <c r="L55" s="70"/>
      <c r="M55" s="70"/>
      <c r="N55" s="70"/>
      <c r="O55" s="70"/>
      <c r="P55" s="70"/>
      <c r="Q55" s="70"/>
      <c r="R55" s="70"/>
      <c r="S55" s="70"/>
    </row>
    <row r="56" spans="1:19" s="38" customFormat="1" x14ac:dyDescent="0.25">
      <c r="A56" s="5"/>
      <c r="D56" s="37"/>
      <c r="F56" s="70"/>
      <c r="G56" s="70"/>
      <c r="H56" s="70"/>
      <c r="I56" s="70"/>
      <c r="J56" s="70"/>
      <c r="K56" s="70"/>
      <c r="L56" s="70"/>
      <c r="M56" s="70"/>
      <c r="N56" s="70"/>
      <c r="O56" s="70"/>
      <c r="P56" s="70"/>
      <c r="Q56" s="70"/>
      <c r="R56" s="70"/>
      <c r="S56" s="70"/>
    </row>
    <row r="57" spans="1:19" s="38" customFormat="1" x14ac:dyDescent="0.25">
      <c r="A57" s="5"/>
      <c r="D57" s="37"/>
      <c r="F57" s="70"/>
      <c r="G57" s="70"/>
      <c r="H57" s="70"/>
      <c r="I57" s="70"/>
      <c r="J57" s="70"/>
      <c r="K57" s="70"/>
      <c r="L57" s="70"/>
      <c r="M57" s="70"/>
      <c r="N57" s="70"/>
      <c r="O57" s="70"/>
      <c r="P57" s="70"/>
      <c r="Q57" s="70"/>
      <c r="R57" s="70"/>
      <c r="S57" s="70"/>
    </row>
    <row r="58" spans="1:19" x14ac:dyDescent="0.25">
      <c r="A58" s="364" t="s">
        <v>1065</v>
      </c>
      <c r="B58" s="364"/>
      <c r="C58" s="364"/>
      <c r="D58" s="364"/>
      <c r="E58" s="364"/>
    </row>
    <row r="59" spans="1:19" x14ac:dyDescent="0.25">
      <c r="A59" s="364"/>
      <c r="B59" s="364"/>
      <c r="C59" s="364"/>
      <c r="D59" s="364"/>
      <c r="E59" s="364"/>
    </row>
  </sheetData>
  <sheetProtection algorithmName="SHA-512" hashValue="BQYF6wYSgD0sLwCxDJ/o1yIMamzZAGzkrnCr4PUxlENRWDrWo+PfYtbBQ/mC8TAzvv9wemIxxJ8QiXlJ9WatmQ==" saltValue="yB8XL4wl8gCXXzrKo1Hw6w==" spinCount="100000" sheet="1" formatCells="0" formatColumns="0" formatRows="0" insertColumns="0" insertRows="0" insertHyperlinks="0" deleteColumns="0" deleteRows="0" sort="0" autoFilter="0" pivotTables="0"/>
  <mergeCells count="1">
    <mergeCell ref="A58:E59"/>
  </mergeCells>
  <hyperlinks>
    <hyperlink ref="A2" location="Index!E29" display="[Back to Index]" xr:uid="{79E5264E-EAAB-47FB-9ABC-5F8EF6DE3BAC}"/>
  </hyperlinks>
  <pageMargins left="0.7" right="0.7" top="0.75" bottom="0.75" header="0.3" footer="0.3"/>
  <pageSetup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1C823-BF91-4B78-A9DF-E4A0240C7F0A}">
  <sheetPr codeName="Sheet35">
    <tabColor rgb="FFFFD1FF"/>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2" width="27.5546875" style="38" customWidth="1"/>
    <col min="3" max="3" width="27.6640625" style="38" customWidth="1"/>
    <col min="4" max="4" width="95.6640625" style="37" customWidth="1"/>
    <col min="5" max="5" width="40.6640625" style="38" customWidth="1"/>
    <col min="6" max="16384" width="8.6640625" style="18"/>
  </cols>
  <sheetData>
    <row r="1" spans="1:5" s="5" customFormat="1" ht="17.399999999999999" x14ac:dyDescent="0.25">
      <c r="A1" s="112" t="s">
        <v>27</v>
      </c>
      <c r="B1" s="2" t="s">
        <v>234</v>
      </c>
      <c r="C1" s="84">
        <v>0</v>
      </c>
      <c r="D1" s="4" t="s">
        <v>1045</v>
      </c>
    </row>
    <row r="2" spans="1:5" s="5" customFormat="1" x14ac:dyDescent="0.25">
      <c r="A2" s="324" t="s">
        <v>74</v>
      </c>
      <c r="C2" s="84">
        <v>0</v>
      </c>
      <c r="D2" s="4" t="s">
        <v>1046</v>
      </c>
    </row>
    <row r="3" spans="1:5" x14ac:dyDescent="0.25">
      <c r="A3" s="154"/>
      <c r="B3" s="222"/>
      <c r="C3" s="142"/>
    </row>
    <row r="4" spans="1:5" s="10" customFormat="1" x14ac:dyDescent="0.3">
      <c r="A4" s="8" t="s">
        <v>75</v>
      </c>
      <c r="B4" s="9" t="s">
        <v>966</v>
      </c>
      <c r="C4" s="9" t="s">
        <v>77</v>
      </c>
      <c r="D4" s="9" t="s">
        <v>78</v>
      </c>
      <c r="E4" s="8" t="s">
        <v>79</v>
      </c>
    </row>
    <row r="5" spans="1:5" s="15" customFormat="1" ht="60" x14ac:dyDescent="0.25">
      <c r="A5" s="11" t="s">
        <v>80</v>
      </c>
      <c r="B5" s="16">
        <f>SUM(B6:B7)</f>
        <v>0</v>
      </c>
      <c r="C5" s="16">
        <f>SUM(C6:C7)</f>
        <v>0</v>
      </c>
      <c r="D5" s="274"/>
      <c r="E5" s="14"/>
    </row>
    <row r="6" spans="1:5" s="15" customFormat="1" ht="45" x14ac:dyDescent="0.25">
      <c r="A6" s="14" t="s">
        <v>81</v>
      </c>
      <c r="B6" s="16"/>
      <c r="C6" s="16"/>
      <c r="D6" s="13"/>
      <c r="E6" s="14"/>
    </row>
    <row r="7" spans="1:5" s="15" customFormat="1" ht="45" x14ac:dyDescent="0.25">
      <c r="A7" s="14" t="s">
        <v>84</v>
      </c>
      <c r="B7" s="17"/>
      <c r="C7" s="17"/>
      <c r="D7" s="274"/>
      <c r="E7" s="13"/>
    </row>
    <row r="8" spans="1:5" ht="30" x14ac:dyDescent="0.25">
      <c r="A8" s="11" t="s">
        <v>87</v>
      </c>
      <c r="B8" s="16">
        <f>SUM(B9:B11)</f>
        <v>0</v>
      </c>
      <c r="C8" s="16">
        <f>SUM(C9:C11)</f>
        <v>0</v>
      </c>
      <c r="D8" s="13"/>
      <c r="E8" s="14"/>
    </row>
    <row r="9" spans="1:5" ht="60" x14ac:dyDescent="0.25">
      <c r="A9" s="14" t="s">
        <v>88</v>
      </c>
      <c r="B9" s="16"/>
      <c r="C9" s="16"/>
      <c r="E9" s="14"/>
    </row>
    <row r="10" spans="1:5" ht="45" x14ac:dyDescent="0.25">
      <c r="A10" s="14" t="s">
        <v>90</v>
      </c>
      <c r="B10" s="16"/>
      <c r="C10" s="16"/>
      <c r="D10" s="275"/>
      <c r="E10" s="13"/>
    </row>
    <row r="11" spans="1:5" x14ac:dyDescent="0.25">
      <c r="A11" s="14" t="s">
        <v>92</v>
      </c>
      <c r="B11" s="16"/>
      <c r="C11" s="16"/>
      <c r="D11" s="13"/>
      <c r="E11" s="14"/>
    </row>
    <row r="12" spans="1:5" ht="45" x14ac:dyDescent="0.25">
      <c r="A12" s="11" t="s">
        <v>93</v>
      </c>
      <c r="B12" s="16">
        <f>SUM(B13:B14)</f>
        <v>0</v>
      </c>
      <c r="C12" s="16">
        <f>SUM(C13:C14)</f>
        <v>0</v>
      </c>
      <c r="D12" s="13"/>
      <c r="E12" s="14"/>
    </row>
    <row r="13" spans="1:5" ht="45" x14ac:dyDescent="0.25">
      <c r="A13" s="14" t="s">
        <v>94</v>
      </c>
      <c r="B13" s="23"/>
      <c r="C13" s="23"/>
      <c r="D13" s="274"/>
      <c r="E13" s="14"/>
    </row>
    <row r="14" spans="1:5" x14ac:dyDescent="0.25">
      <c r="A14" s="14" t="s">
        <v>96</v>
      </c>
      <c r="B14" s="16"/>
      <c r="C14" s="16"/>
      <c r="D14" s="13"/>
      <c r="E14" s="14"/>
    </row>
    <row r="15" spans="1:5" ht="45" x14ac:dyDescent="0.25">
      <c r="A15" s="11" t="s">
        <v>97</v>
      </c>
      <c r="B15" s="12">
        <v>0</v>
      </c>
      <c r="C15" s="12">
        <v>0</v>
      </c>
      <c r="D15" s="13"/>
      <c r="E15" s="14"/>
    </row>
    <row r="16" spans="1:5" ht="30" x14ac:dyDescent="0.25">
      <c r="A16" s="11" t="s">
        <v>98</v>
      </c>
      <c r="B16" s="16">
        <f>SUM(B17:B18)</f>
        <v>0</v>
      </c>
      <c r="C16" s="16">
        <f>SUM(C17:C18)</f>
        <v>0</v>
      </c>
      <c r="D16" s="13"/>
      <c r="E16" s="14"/>
    </row>
    <row r="17" spans="1:5" x14ac:dyDescent="0.25">
      <c r="A17" s="13" t="s">
        <v>99</v>
      </c>
      <c r="B17" s="85"/>
      <c r="C17" s="23"/>
      <c r="D17" s="274"/>
      <c r="E17" s="14"/>
    </row>
    <row r="18" spans="1:5" x14ac:dyDescent="0.25">
      <c r="A18" s="13" t="s">
        <v>101</v>
      </c>
      <c r="B18" s="23"/>
      <c r="C18" s="23"/>
      <c r="D18" s="275"/>
      <c r="E18" s="13"/>
    </row>
    <row r="19" spans="1:5" ht="30" x14ac:dyDescent="0.25">
      <c r="A19" s="11" t="s">
        <v>103</v>
      </c>
      <c r="B19" s="12">
        <v>0</v>
      </c>
      <c r="C19" s="12">
        <v>0</v>
      </c>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ht="45" x14ac:dyDescent="0.25">
      <c r="A28" s="13" t="s">
        <v>115</v>
      </c>
      <c r="B28" s="16"/>
      <c r="C28" s="16"/>
      <c r="D28" s="302" t="s">
        <v>967</v>
      </c>
      <c r="E28" s="260" t="s">
        <v>846</v>
      </c>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ht="45" x14ac:dyDescent="0.25">
      <c r="A32" s="11" t="s">
        <v>119</v>
      </c>
      <c r="B32" s="12">
        <f>C32*B36</f>
        <v>0</v>
      </c>
      <c r="C32" s="12">
        <v>0</v>
      </c>
      <c r="D32" s="13" t="s">
        <v>968</v>
      </c>
      <c r="E32" s="260" t="s">
        <v>846</v>
      </c>
    </row>
    <row r="33" spans="1:5" s="169" customFormat="1" x14ac:dyDescent="0.3">
      <c r="A33" s="31"/>
      <c r="B33" s="120"/>
      <c r="C33" s="120"/>
      <c r="D33" s="33"/>
      <c r="E33" s="34"/>
    </row>
    <row r="34" spans="1:5" s="169" customFormat="1" x14ac:dyDescent="0.25">
      <c r="A34" s="35" t="s">
        <v>120</v>
      </c>
      <c r="B34" s="265">
        <f>(SUM(B5,B8,B12,B15,B16,B32))</f>
        <v>0</v>
      </c>
      <c r="C34" s="265">
        <f>(SUM(C5,C8,C12,C15,C16,C32))</f>
        <v>0</v>
      </c>
      <c r="D34" s="37"/>
      <c r="E34" s="38"/>
    </row>
    <row r="35" spans="1:5" s="169" customFormat="1" x14ac:dyDescent="0.25">
      <c r="A35" s="31"/>
      <c r="B35" s="39"/>
      <c r="C35" s="40"/>
      <c r="D35" s="37"/>
      <c r="E35" s="38"/>
    </row>
    <row r="36" spans="1:5" s="169" customFormat="1" x14ac:dyDescent="0.25">
      <c r="A36" s="31" t="s">
        <v>121</v>
      </c>
      <c r="B36" s="268">
        <v>3.5</v>
      </c>
      <c r="C36" s="42"/>
      <c r="D36" s="37"/>
      <c r="E36" s="38"/>
    </row>
    <row r="37" spans="1:5" s="169" customFormat="1" x14ac:dyDescent="0.25">
      <c r="A37" s="43" t="s">
        <v>122</v>
      </c>
      <c r="B37" s="269">
        <v>163360000000</v>
      </c>
      <c r="C37" s="269">
        <v>46674000000</v>
      </c>
      <c r="D37" s="37"/>
      <c r="E37" s="38"/>
    </row>
    <row r="38" spans="1:5" s="169" customFormat="1" x14ac:dyDescent="0.25">
      <c r="A38" s="43" t="s">
        <v>123</v>
      </c>
      <c r="B38" s="269">
        <v>5850908</v>
      </c>
      <c r="C38" s="152"/>
      <c r="D38" s="37"/>
      <c r="E38" s="38"/>
    </row>
    <row r="39" spans="1:5" s="169" customFormat="1" x14ac:dyDescent="0.25">
      <c r="A39" s="43"/>
      <c r="B39" s="44"/>
      <c r="C39" s="44"/>
      <c r="D39" s="37"/>
      <c r="E39" s="38"/>
    </row>
    <row r="40" spans="1:5" s="169" customFormat="1" x14ac:dyDescent="0.25">
      <c r="A40" s="5"/>
      <c r="B40" s="46" t="s">
        <v>969</v>
      </c>
      <c r="C40" s="47" t="s">
        <v>125</v>
      </c>
      <c r="D40" s="37"/>
      <c r="E40" s="38"/>
    </row>
    <row r="41" spans="1:5" s="169" customFormat="1" x14ac:dyDescent="0.25">
      <c r="A41" s="43" t="s">
        <v>126</v>
      </c>
      <c r="B41" s="269">
        <f>$B37/$B38</f>
        <v>27920.45268871088</v>
      </c>
      <c r="C41" s="269">
        <f>$C37/$B38</f>
        <v>7977.2233643051641</v>
      </c>
      <c r="D41" s="37"/>
      <c r="E41" s="38"/>
    </row>
    <row r="42" spans="1:5" s="169" customFormat="1" x14ac:dyDescent="0.25">
      <c r="A42" s="43" t="s">
        <v>127</v>
      </c>
      <c r="B42" s="303">
        <f>($B34/$B37)*100</f>
        <v>0</v>
      </c>
      <c r="C42" s="303"/>
      <c r="D42" s="37"/>
      <c r="E42" s="38"/>
    </row>
    <row r="43" spans="1:5" s="169" customFormat="1" x14ac:dyDescent="0.25">
      <c r="A43" s="43" t="s">
        <v>128</v>
      </c>
      <c r="B43" s="303">
        <f>B34/B38</f>
        <v>0</v>
      </c>
      <c r="C43" s="303">
        <f>C34/B38</f>
        <v>0</v>
      </c>
      <c r="D43" s="37"/>
      <c r="E43" s="38"/>
    </row>
    <row r="44" spans="1:5" s="169" customFormat="1" x14ac:dyDescent="0.25">
      <c r="A44" s="43"/>
      <c r="B44" s="303"/>
      <c r="C44" s="303"/>
      <c r="D44" s="37"/>
      <c r="E44" s="38"/>
    </row>
    <row r="45" spans="1:5" s="169" customFormat="1" x14ac:dyDescent="0.25">
      <c r="A45" s="336" t="s">
        <v>1057</v>
      </c>
      <c r="B45" s="303"/>
      <c r="C45" s="303"/>
      <c r="D45" s="37"/>
      <c r="E45" s="38"/>
    </row>
    <row r="46" spans="1:5" s="169" customFormat="1" x14ac:dyDescent="0.25">
      <c r="A46" s="336"/>
      <c r="B46" s="303"/>
      <c r="C46" s="303"/>
      <c r="D46" s="37"/>
      <c r="E46" s="38"/>
    </row>
    <row r="47" spans="1:5" s="169" customFormat="1" x14ac:dyDescent="0.25">
      <c r="A47" s="43"/>
      <c r="B47" s="51"/>
      <c r="C47" s="38"/>
      <c r="D47" s="37"/>
      <c r="E47" s="38"/>
    </row>
    <row r="48" spans="1:5" s="169" customFormat="1" x14ac:dyDescent="0.25">
      <c r="A48" s="43" t="s">
        <v>129</v>
      </c>
      <c r="B48" s="38"/>
      <c r="C48" s="38"/>
      <c r="D48" s="37"/>
      <c r="E48" s="38"/>
    </row>
    <row r="49" spans="1:5" s="169" customFormat="1" ht="15.45" customHeight="1" x14ac:dyDescent="0.25">
      <c r="A49" s="52" t="s">
        <v>970</v>
      </c>
      <c r="B49" s="52"/>
      <c r="C49" s="52"/>
      <c r="D49" s="52"/>
      <c r="E49" s="52"/>
    </row>
    <row r="50" spans="1:5" s="38" customFormat="1" x14ac:dyDescent="0.25">
      <c r="A50" s="281" t="s">
        <v>870</v>
      </c>
      <c r="D50" s="37"/>
    </row>
    <row r="52" spans="1:5" x14ac:dyDescent="0.25">
      <c r="A52" s="43" t="s">
        <v>131</v>
      </c>
    </row>
    <row r="53" spans="1:5" s="38" customFormat="1" ht="15.6" customHeight="1" x14ac:dyDescent="0.25">
      <c r="A53" s="279" t="s">
        <v>971</v>
      </c>
      <c r="B53" s="279"/>
      <c r="C53" s="279"/>
      <c r="D53" s="279"/>
      <c r="E53" s="279"/>
    </row>
    <row r="54" spans="1:5" s="38" customFormat="1" x14ac:dyDescent="0.25">
      <c r="A54" s="279" t="s">
        <v>972</v>
      </c>
      <c r="B54" s="279"/>
      <c r="C54" s="279"/>
      <c r="D54" s="279"/>
      <c r="E54" s="279"/>
    </row>
    <row r="55" spans="1:5" s="38" customFormat="1" x14ac:dyDescent="0.25">
      <c r="A55" s="279" t="s">
        <v>973</v>
      </c>
      <c r="B55" s="279"/>
      <c r="C55" s="279"/>
      <c r="D55" s="279"/>
      <c r="E55" s="279"/>
    </row>
    <row r="56" spans="1:5" s="38" customFormat="1" x14ac:dyDescent="0.25">
      <c r="A56" s="281" t="s">
        <v>870</v>
      </c>
      <c r="D56" s="37"/>
    </row>
    <row r="57" spans="1:5" s="38" customFormat="1" x14ac:dyDescent="0.25">
      <c r="D57" s="37"/>
    </row>
    <row r="58" spans="1:5" s="38" customFormat="1" x14ac:dyDescent="0.25">
      <c r="A58" s="5"/>
      <c r="D58" s="37"/>
    </row>
    <row r="59" spans="1:5" ht="15" customHeight="1" x14ac:dyDescent="0.25">
      <c r="A59" s="364" t="s">
        <v>1065</v>
      </c>
      <c r="B59" s="364"/>
      <c r="C59" s="364"/>
      <c r="D59" s="364"/>
      <c r="E59" s="364"/>
    </row>
    <row r="60" spans="1:5" x14ac:dyDescent="0.25">
      <c r="A60" s="364"/>
      <c r="B60" s="364"/>
      <c r="C60" s="364"/>
      <c r="D60" s="364"/>
      <c r="E60" s="364"/>
    </row>
  </sheetData>
  <sheetProtection algorithmName="SHA-512" hashValue="rGwAEF2qu9wPgv0VP8fDauFkIyJYPAySt9Wpn+g86ZGmz8GOvQmiwONUsqLl07TlAKEUcSphUMRfeVOFo7CKRQ==" saltValue="PS+eEedH8qBWwm4bdBky2Q==" spinCount="100000" sheet="1" formatCells="0" formatColumns="0" formatRows="0" insertColumns="0" insertRows="0" insertHyperlinks="0" deleteColumns="0" deleteRows="0" sort="0" autoFilter="0" pivotTables="0"/>
  <mergeCells count="1">
    <mergeCell ref="A59:E60"/>
  </mergeCells>
  <hyperlinks>
    <hyperlink ref="A2" location="Index!E30" display="[Back to Index]" xr:uid="{93EFCACE-C883-4715-9AAD-F961B8B264C5}"/>
  </hyperlink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553E-DB1C-480F-AB8A-53CFC8160E90}">
  <sheetPr codeName="Sheet36">
    <tabColor rgb="FFFFD1FF"/>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3" width="27.5546875" style="70" customWidth="1"/>
    <col min="4" max="4" width="95.5546875" style="37" customWidth="1"/>
    <col min="5" max="5" width="40.5546875" style="70" customWidth="1"/>
    <col min="6" max="16384" width="8.77734375" style="37"/>
  </cols>
  <sheetData>
    <row r="1" spans="1:5" s="7" customFormat="1" ht="17.399999999999999" x14ac:dyDescent="0.25">
      <c r="A1" s="112" t="s">
        <v>30</v>
      </c>
      <c r="B1" s="2" t="s">
        <v>73</v>
      </c>
      <c r="C1" s="84">
        <v>4.5364339999999999</v>
      </c>
      <c r="D1" s="4" t="s">
        <v>1045</v>
      </c>
    </row>
    <row r="2" spans="1:5" s="7" customFormat="1" x14ac:dyDescent="0.25">
      <c r="A2" s="324" t="s">
        <v>74</v>
      </c>
      <c r="C2" s="84">
        <v>1.5172E-2</v>
      </c>
      <c r="D2" s="4" t="s">
        <v>1046</v>
      </c>
    </row>
    <row r="3" spans="1:5" s="7" customFormat="1" x14ac:dyDescent="0.25">
      <c r="A3" s="61"/>
    </row>
    <row r="4" spans="1:5" s="62" customFormat="1" x14ac:dyDescent="0.3">
      <c r="A4" s="9" t="s">
        <v>75</v>
      </c>
      <c r="B4" s="9" t="s">
        <v>219</v>
      </c>
      <c r="C4" s="9" t="s">
        <v>77</v>
      </c>
      <c r="D4" s="9" t="s">
        <v>78</v>
      </c>
      <c r="E4" s="9" t="s">
        <v>79</v>
      </c>
    </row>
    <row r="5" spans="1:5" s="63" customFormat="1" ht="60" x14ac:dyDescent="0.25">
      <c r="A5" s="22" t="s">
        <v>80</v>
      </c>
      <c r="B5" s="12">
        <f>SUM(B6:B7)</f>
        <v>0</v>
      </c>
      <c r="C5" s="12">
        <f>SUM(C6:C7)</f>
        <v>0</v>
      </c>
      <c r="D5" s="24"/>
      <c r="E5" s="24"/>
    </row>
    <row r="6" spans="1:5" s="63" customFormat="1" ht="45" x14ac:dyDescent="0.25">
      <c r="A6" s="13" t="s">
        <v>81</v>
      </c>
      <c r="B6" s="16"/>
      <c r="C6" s="16"/>
      <c r="D6" s="24"/>
      <c r="E6" s="24"/>
    </row>
    <row r="7" spans="1:5" s="63" customFormat="1" ht="45" x14ac:dyDescent="0.25">
      <c r="A7" s="13" t="s">
        <v>84</v>
      </c>
      <c r="B7" s="17"/>
      <c r="C7" s="17"/>
      <c r="D7" s="24"/>
      <c r="E7" s="24"/>
    </row>
    <row r="8" spans="1:5" ht="30" x14ac:dyDescent="0.25">
      <c r="A8" s="22" t="s">
        <v>87</v>
      </c>
      <c r="B8" s="12">
        <f>SUM(B9:B11)</f>
        <v>0</v>
      </c>
      <c r="C8" s="12">
        <f>SUM(C9:C11)</f>
        <v>0</v>
      </c>
      <c r="D8" s="24"/>
      <c r="E8" s="24"/>
    </row>
    <row r="9" spans="1:5" ht="60" x14ac:dyDescent="0.25">
      <c r="A9" s="13" t="s">
        <v>166</v>
      </c>
      <c r="B9" s="16"/>
      <c r="C9" s="16"/>
      <c r="D9" s="24"/>
      <c r="E9" s="24"/>
    </row>
    <row r="10" spans="1:5" ht="60" x14ac:dyDescent="0.25">
      <c r="A10" s="13" t="s">
        <v>90</v>
      </c>
      <c r="B10" s="16"/>
      <c r="C10" s="16"/>
      <c r="D10" s="89" t="s">
        <v>220</v>
      </c>
      <c r="E10" s="90" t="s">
        <v>221</v>
      </c>
    </row>
    <row r="11" spans="1:5" x14ac:dyDescent="0.25">
      <c r="A11" s="13" t="s">
        <v>92</v>
      </c>
      <c r="B11" s="19"/>
      <c r="C11" s="19"/>
      <c r="D11" s="24"/>
      <c r="E11" s="24"/>
    </row>
    <row r="12" spans="1:5" ht="45" x14ac:dyDescent="0.25">
      <c r="A12" s="22" t="s">
        <v>93</v>
      </c>
      <c r="B12" s="12">
        <f>SUM(B13:B14)</f>
        <v>0</v>
      </c>
      <c r="C12" s="12">
        <f>SUM(C13:C14)</f>
        <v>0</v>
      </c>
      <c r="D12" s="24"/>
      <c r="E12" s="24"/>
    </row>
    <row r="13" spans="1:5" ht="45" x14ac:dyDescent="0.25">
      <c r="A13" s="13" t="s">
        <v>171</v>
      </c>
      <c r="B13" s="67"/>
      <c r="C13" s="67"/>
      <c r="D13" s="24"/>
      <c r="E13" s="24"/>
    </row>
    <row r="14" spans="1:5" ht="60" x14ac:dyDescent="0.25">
      <c r="A14" s="13" t="s">
        <v>96</v>
      </c>
      <c r="B14" s="16"/>
      <c r="C14" s="16"/>
      <c r="D14" s="13" t="s">
        <v>222</v>
      </c>
      <c r="E14" s="13" t="s">
        <v>223</v>
      </c>
    </row>
    <row r="15" spans="1:5" ht="45" x14ac:dyDescent="0.25">
      <c r="A15" s="22" t="s">
        <v>97</v>
      </c>
      <c r="B15" s="12"/>
      <c r="C15" s="12"/>
      <c r="D15" s="24"/>
      <c r="E15" s="24"/>
    </row>
    <row r="16" spans="1:5" ht="30" x14ac:dyDescent="0.25">
      <c r="A16" s="22" t="s">
        <v>98</v>
      </c>
      <c r="B16" s="12">
        <f>SUM(B17:B18)</f>
        <v>0</v>
      </c>
      <c r="C16" s="12">
        <f>SUM(C17:C18)</f>
        <v>0</v>
      </c>
      <c r="D16" s="24"/>
      <c r="E16" s="24"/>
    </row>
    <row r="17" spans="1:5" ht="60" x14ac:dyDescent="0.25">
      <c r="A17" s="13" t="s">
        <v>99</v>
      </c>
      <c r="B17" s="91"/>
      <c r="C17" s="67"/>
      <c r="D17" s="13" t="s">
        <v>224</v>
      </c>
      <c r="E17" s="13" t="s">
        <v>223</v>
      </c>
    </row>
    <row r="18" spans="1:5" ht="120" x14ac:dyDescent="0.25">
      <c r="A18" s="13" t="s">
        <v>101</v>
      </c>
      <c r="B18" s="67"/>
      <c r="C18" s="67"/>
      <c r="D18" s="92" t="s">
        <v>225</v>
      </c>
      <c r="E18" s="13" t="s">
        <v>223</v>
      </c>
    </row>
    <row r="19" spans="1:5" ht="30" x14ac:dyDescent="0.25">
      <c r="A19" s="22" t="s">
        <v>103</v>
      </c>
      <c r="B19" s="12"/>
      <c r="C19" s="12"/>
      <c r="D19" s="24"/>
      <c r="E19" s="24"/>
    </row>
    <row r="20" spans="1:5" x14ac:dyDescent="0.25">
      <c r="A20" s="13" t="s">
        <v>104</v>
      </c>
      <c r="B20" s="16"/>
      <c r="C20" s="16"/>
      <c r="D20" s="24"/>
      <c r="E20" s="93"/>
    </row>
    <row r="21" spans="1:5" ht="30" x14ac:dyDescent="0.25">
      <c r="A21" s="22" t="s">
        <v>105</v>
      </c>
      <c r="B21" s="12">
        <f>SUM(B22,B24)</f>
        <v>0</v>
      </c>
      <c r="C21" s="12">
        <f>SUM(C22,C24)</f>
        <v>0</v>
      </c>
      <c r="D21" s="24"/>
      <c r="E21" s="24"/>
    </row>
    <row r="22" spans="1:5" x14ac:dyDescent="0.25">
      <c r="A22" s="22" t="s">
        <v>108</v>
      </c>
      <c r="B22" s="16"/>
      <c r="C22" s="16"/>
      <c r="D22" s="24"/>
      <c r="E22" s="24"/>
    </row>
    <row r="23" spans="1:5" x14ac:dyDescent="0.25">
      <c r="A23" s="13" t="s">
        <v>109</v>
      </c>
      <c r="B23" s="16"/>
      <c r="C23" s="16"/>
      <c r="D23" s="24"/>
      <c r="E23" s="24"/>
    </row>
    <row r="24" spans="1:5" x14ac:dyDescent="0.25">
      <c r="A24" s="22" t="s">
        <v>110</v>
      </c>
      <c r="B24" s="67"/>
      <c r="C24" s="67"/>
      <c r="D24" s="24"/>
      <c r="E24" s="24"/>
    </row>
    <row r="25" spans="1:5" x14ac:dyDescent="0.25">
      <c r="A25" s="13" t="s">
        <v>109</v>
      </c>
      <c r="B25" s="16"/>
      <c r="C25" s="67"/>
      <c r="D25" s="24"/>
      <c r="E25" s="24"/>
    </row>
    <row r="26" spans="1:5" x14ac:dyDescent="0.25">
      <c r="A26" s="22" t="s">
        <v>111</v>
      </c>
      <c r="B26" s="12">
        <f>SUM(B27:B29)</f>
        <v>2388555000</v>
      </c>
      <c r="C26" s="12">
        <f>SUM(C27:C29)</f>
        <v>250000</v>
      </c>
      <c r="D26" s="24"/>
      <c r="E26" s="24"/>
    </row>
    <row r="27" spans="1:5" x14ac:dyDescent="0.25">
      <c r="A27" s="13" t="s">
        <v>112</v>
      </c>
      <c r="B27" s="16"/>
      <c r="C27" s="16"/>
      <c r="D27" s="24"/>
      <c r="E27" s="24"/>
    </row>
    <row r="28" spans="1:5" x14ac:dyDescent="0.25">
      <c r="A28" s="13" t="s">
        <v>115</v>
      </c>
      <c r="B28" s="16"/>
      <c r="C28" s="16"/>
      <c r="D28" s="24"/>
      <c r="E28" s="24"/>
    </row>
    <row r="29" spans="1:5" x14ac:dyDescent="0.25">
      <c r="A29" s="13" t="s">
        <v>116</v>
      </c>
      <c r="B29" s="19">
        <f>SUM(B30:B31)</f>
        <v>2388555000</v>
      </c>
      <c r="C29" s="19">
        <f>SUM(C30:C31)</f>
        <v>250000</v>
      </c>
      <c r="D29" s="24"/>
      <c r="E29" s="24"/>
    </row>
    <row r="30" spans="1:5" ht="30" x14ac:dyDescent="0.25">
      <c r="A30" s="13" t="s">
        <v>117</v>
      </c>
      <c r="B30" s="19">
        <f>C30*$B$36</f>
        <v>2388555000</v>
      </c>
      <c r="C30" s="19">
        <f>(0.05+0.2)*10^6</f>
        <v>250000</v>
      </c>
      <c r="D30" s="24" t="s">
        <v>226</v>
      </c>
      <c r="E30" s="24" t="s">
        <v>209</v>
      </c>
    </row>
    <row r="31" spans="1:5" x14ac:dyDescent="0.25">
      <c r="A31" s="13" t="s">
        <v>118</v>
      </c>
      <c r="B31" s="19"/>
      <c r="C31" s="19"/>
      <c r="D31" s="24"/>
      <c r="E31" s="24"/>
    </row>
    <row r="32" spans="1:5" x14ac:dyDescent="0.25">
      <c r="A32" s="22" t="s">
        <v>119</v>
      </c>
      <c r="B32" s="91"/>
      <c r="C32" s="16"/>
      <c r="D32" s="24"/>
      <c r="E32" s="24"/>
    </row>
    <row r="33" spans="1:5" x14ac:dyDescent="0.25">
      <c r="A33" s="35"/>
      <c r="B33" s="69"/>
      <c r="C33" s="69"/>
      <c r="D33" s="33"/>
      <c r="E33" s="33"/>
    </row>
    <row r="34" spans="1:5" x14ac:dyDescent="0.25">
      <c r="A34" s="35" t="s">
        <v>120</v>
      </c>
      <c r="B34" s="94">
        <f>SUM(B5,B8,B12,B15,B16)</f>
        <v>0</v>
      </c>
      <c r="C34" s="94">
        <f>SUM(C5,C8,C12,C15,C16)</f>
        <v>0</v>
      </c>
    </row>
    <row r="35" spans="1:5" x14ac:dyDescent="0.25">
      <c r="A35" s="35"/>
      <c r="B35" s="71"/>
      <c r="C35" s="72"/>
    </row>
    <row r="36" spans="1:5" x14ac:dyDescent="0.25">
      <c r="A36" s="35" t="s">
        <v>121</v>
      </c>
      <c r="B36" s="95">
        <v>9554.2199999999993</v>
      </c>
      <c r="C36" s="74"/>
    </row>
    <row r="37" spans="1:5" x14ac:dyDescent="0.25">
      <c r="A37" s="75" t="s">
        <v>122</v>
      </c>
      <c r="B37" s="77">
        <v>523373000000000</v>
      </c>
      <c r="C37" s="77">
        <v>60490000000</v>
      </c>
    </row>
    <row r="38" spans="1:5" x14ac:dyDescent="0.25">
      <c r="A38" s="75" t="s">
        <v>123</v>
      </c>
      <c r="B38" s="76">
        <v>32955400</v>
      </c>
      <c r="C38" s="77"/>
    </row>
    <row r="39" spans="1:5" x14ac:dyDescent="0.25">
      <c r="A39" s="75"/>
      <c r="B39" s="76"/>
      <c r="C39" s="76"/>
    </row>
    <row r="40" spans="1:5" x14ac:dyDescent="0.25">
      <c r="A40" s="7"/>
      <c r="B40" s="46" t="s">
        <v>227</v>
      </c>
      <c r="C40" s="47" t="s">
        <v>125</v>
      </c>
    </row>
    <row r="41" spans="1:5" x14ac:dyDescent="0.25">
      <c r="A41" s="75" t="s">
        <v>126</v>
      </c>
      <c r="B41" s="48">
        <f>$B37/$B$38</f>
        <v>15881251.630992189</v>
      </c>
      <c r="C41" s="48">
        <f>$C37/$B$38</f>
        <v>1835.5110239899986</v>
      </c>
    </row>
    <row r="42" spans="1:5" x14ac:dyDescent="0.25">
      <c r="A42" s="75" t="s">
        <v>127</v>
      </c>
      <c r="B42" s="96">
        <f>($B34/$B37)*100</f>
        <v>0</v>
      </c>
      <c r="C42" s="96"/>
    </row>
    <row r="43" spans="1:5" x14ac:dyDescent="0.25">
      <c r="A43" s="75" t="s">
        <v>128</v>
      </c>
      <c r="B43" s="96">
        <f>$B34/$B$38</f>
        <v>0</v>
      </c>
      <c r="C43" s="96">
        <f>$C34/$B$38</f>
        <v>0</v>
      </c>
    </row>
    <row r="44" spans="1:5" x14ac:dyDescent="0.25">
      <c r="A44" s="75"/>
      <c r="B44" s="78"/>
      <c r="C44" s="78"/>
    </row>
    <row r="45" spans="1:5" x14ac:dyDescent="0.25">
      <c r="A45" s="336" t="s">
        <v>1055</v>
      </c>
      <c r="B45" s="78"/>
      <c r="C45" s="78"/>
    </row>
    <row r="46" spans="1:5" x14ac:dyDescent="0.25">
      <c r="A46" s="336"/>
      <c r="B46" s="78"/>
      <c r="C46" s="78"/>
    </row>
    <row r="47" spans="1:5" x14ac:dyDescent="0.25">
      <c r="A47" s="75"/>
      <c r="B47" s="79"/>
    </row>
    <row r="48" spans="1:5" x14ac:dyDescent="0.25">
      <c r="A48" s="75" t="s">
        <v>129</v>
      </c>
    </row>
    <row r="49" spans="1:5" ht="15.6" customHeight="1" x14ac:dyDescent="0.25">
      <c r="A49" s="52" t="s">
        <v>130</v>
      </c>
      <c r="B49" s="53"/>
      <c r="C49" s="53"/>
      <c r="D49" s="53"/>
      <c r="E49" s="53"/>
    </row>
    <row r="51" spans="1:5" x14ac:dyDescent="0.25">
      <c r="A51" s="75" t="s">
        <v>131</v>
      </c>
    </row>
    <row r="52" spans="1:5" s="70" customFormat="1" x14ac:dyDescent="0.3">
      <c r="A52" s="54" t="s">
        <v>228</v>
      </c>
      <c r="B52" s="55"/>
      <c r="C52" s="55"/>
      <c r="D52" s="55"/>
      <c r="E52" s="55"/>
    </row>
    <row r="53" spans="1:5" s="70" customFormat="1" x14ac:dyDescent="0.25">
      <c r="A53" s="37" t="s">
        <v>229</v>
      </c>
      <c r="B53" s="55"/>
      <c r="C53" s="55"/>
      <c r="D53" s="55"/>
      <c r="E53" s="55"/>
    </row>
    <row r="54" spans="1:5" s="70" customFormat="1" x14ac:dyDescent="0.25">
      <c r="A54" s="37" t="s">
        <v>230</v>
      </c>
      <c r="B54" s="55"/>
      <c r="C54" s="55"/>
      <c r="D54" s="55"/>
      <c r="E54" s="55"/>
    </row>
    <row r="55" spans="1:5" s="70" customFormat="1" x14ac:dyDescent="0.25">
      <c r="A55" s="37" t="s">
        <v>231</v>
      </c>
      <c r="B55" s="33"/>
      <c r="C55" s="33"/>
      <c r="D55" s="33"/>
      <c r="E55" s="33"/>
    </row>
    <row r="56" spans="1:5" s="70" customFormat="1" x14ac:dyDescent="0.25">
      <c r="A56" s="7" t="s">
        <v>232</v>
      </c>
      <c r="D56" s="37"/>
    </row>
    <row r="57" spans="1:5" s="70" customFormat="1" x14ac:dyDescent="0.25">
      <c r="D57" s="37"/>
    </row>
    <row r="58" spans="1:5" s="70" customFormat="1" x14ac:dyDescent="0.25">
      <c r="A58" s="7"/>
      <c r="D58" s="37"/>
    </row>
    <row r="59" spans="1:5" x14ac:dyDescent="0.25">
      <c r="A59" s="364" t="s">
        <v>1060</v>
      </c>
      <c r="B59" s="364"/>
      <c r="C59" s="364"/>
      <c r="D59" s="364"/>
      <c r="E59" s="364"/>
    </row>
    <row r="60" spans="1:5" x14ac:dyDescent="0.25">
      <c r="A60" s="364"/>
      <c r="B60" s="364"/>
      <c r="C60" s="364"/>
      <c r="D60" s="364"/>
      <c r="E60" s="364"/>
    </row>
  </sheetData>
  <sheetProtection algorithmName="SHA-512" hashValue="T24kFtjzQ9rTdObf5NcNBQe6ORjkvBwJyyEyMiv4yLFuqVr0NKWdPz7FNgRFBiEuggay1JVbAOB/1/qUQCbdEQ==" saltValue="faREz3jPZrQDvMYihxotXQ==" spinCount="100000" sheet="1" formatCells="0" formatColumns="0" formatRows="0" insertColumns="0" insertRows="0" insertHyperlinks="0" deleteColumns="0" deleteRows="0" sort="0" autoFilter="0" pivotTables="0"/>
  <mergeCells count="1">
    <mergeCell ref="A59:E60"/>
  </mergeCells>
  <hyperlinks>
    <hyperlink ref="A2" location="Index!E31" display="[Back to Index]" xr:uid="{C21DC5B8-DBF3-421B-AA9B-61505CE2955C}"/>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B43F7-5181-4A94-9E80-AAA50F77667C}">
  <sheetPr codeName="Sheet37">
    <tabColor theme="5" tint="0.59999389629810485"/>
  </sheetPr>
  <dimension ref="A1:E65"/>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36</v>
      </c>
      <c r="B1" s="2" t="s">
        <v>73</v>
      </c>
      <c r="C1" s="3">
        <v>13.769963763253255</v>
      </c>
      <c r="D1" s="4" t="s">
        <v>1045</v>
      </c>
    </row>
    <row r="2" spans="1:5" s="5" customFormat="1" x14ac:dyDescent="0.25">
      <c r="A2" s="324" t="s">
        <v>74</v>
      </c>
      <c r="C2" s="3">
        <v>5.368406925244934E-2</v>
      </c>
      <c r="D2" s="4" t="s">
        <v>1046</v>
      </c>
    </row>
    <row r="3" spans="1:5" x14ac:dyDescent="0.25">
      <c r="A3" s="154"/>
      <c r="B3" s="222"/>
      <c r="C3" s="149"/>
    </row>
    <row r="4" spans="1:5" s="10" customFormat="1" x14ac:dyDescent="0.3">
      <c r="A4" s="8" t="s">
        <v>75</v>
      </c>
      <c r="B4" s="9" t="s">
        <v>679</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60" x14ac:dyDescent="0.25">
      <c r="A7" s="14" t="s">
        <v>84</v>
      </c>
      <c r="B7" s="17"/>
      <c r="C7" s="17"/>
      <c r="D7" s="13" t="s">
        <v>680</v>
      </c>
      <c r="E7" s="13" t="s">
        <v>681</v>
      </c>
    </row>
    <row r="8" spans="1:5" ht="30" x14ac:dyDescent="0.25">
      <c r="A8" s="11" t="s">
        <v>87</v>
      </c>
      <c r="B8" s="12">
        <f>SUM(B9:B11)</f>
        <v>0</v>
      </c>
      <c r="C8" s="12">
        <f>SUM(C9:C11)</f>
        <v>0</v>
      </c>
      <c r="D8" s="13"/>
      <c r="E8" s="14"/>
    </row>
    <row r="9" spans="1:5" ht="60" x14ac:dyDescent="0.25">
      <c r="A9" s="14" t="s">
        <v>88</v>
      </c>
      <c r="B9" s="16"/>
      <c r="C9" s="16"/>
      <c r="D9" s="13"/>
      <c r="E9" s="14"/>
    </row>
    <row r="10" spans="1:5" ht="135" x14ac:dyDescent="0.25">
      <c r="A10" s="14" t="s">
        <v>90</v>
      </c>
      <c r="B10" s="16"/>
      <c r="C10" s="16"/>
      <c r="D10" s="13" t="s">
        <v>682</v>
      </c>
      <c r="E10" s="13" t="s">
        <v>683</v>
      </c>
    </row>
    <row r="11" spans="1:5" ht="30" x14ac:dyDescent="0.25">
      <c r="A11" s="14" t="s">
        <v>92</v>
      </c>
      <c r="B11" s="19"/>
      <c r="C11" s="19"/>
      <c r="D11" s="13" t="s">
        <v>684</v>
      </c>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ht="60" x14ac:dyDescent="0.25">
      <c r="A14" s="14" t="s">
        <v>96</v>
      </c>
      <c r="B14" s="16"/>
      <c r="C14" s="16"/>
      <c r="D14" s="13" t="s">
        <v>685</v>
      </c>
      <c r="E14" s="14" t="s">
        <v>686</v>
      </c>
    </row>
    <row r="15" spans="1:5" ht="45" x14ac:dyDescent="0.25">
      <c r="A15" s="11" t="s">
        <v>97</v>
      </c>
      <c r="B15" s="12"/>
      <c r="C15" s="12"/>
      <c r="D15" s="13"/>
      <c r="E15" s="14"/>
    </row>
    <row r="16" spans="1:5" ht="30" x14ac:dyDescent="0.25">
      <c r="A16" s="11" t="s">
        <v>98</v>
      </c>
      <c r="B16" s="12">
        <f>SUM(B17:B18)</f>
        <v>287500000000</v>
      </c>
      <c r="C16" s="12">
        <f>SUM(C17:C18)</f>
        <v>37025112685.125565</v>
      </c>
      <c r="D16" s="13"/>
      <c r="E16" s="14"/>
    </row>
    <row r="17" spans="1:5" ht="60" x14ac:dyDescent="0.25">
      <c r="A17" s="13" t="s">
        <v>99</v>
      </c>
      <c r="B17" s="227">
        <f>30*10^9</f>
        <v>30000000000</v>
      </c>
      <c r="C17" s="227">
        <f>B17/$B$36</f>
        <v>3863490019.31745</v>
      </c>
      <c r="D17" s="14" t="s">
        <v>687</v>
      </c>
      <c r="E17" s="14" t="s">
        <v>686</v>
      </c>
    </row>
    <row r="18" spans="1:5" ht="75" x14ac:dyDescent="0.25">
      <c r="A18" s="13" t="s">
        <v>101</v>
      </c>
      <c r="B18" s="227">
        <f>(79.5+71+80+21+6)*10^9</f>
        <v>257500000000</v>
      </c>
      <c r="C18" s="227">
        <f>B18/$B$36</f>
        <v>33161622665.808113</v>
      </c>
      <c r="D18" s="102" t="s">
        <v>688</v>
      </c>
      <c r="E18" s="14" t="s">
        <v>686</v>
      </c>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0</v>
      </c>
      <c r="C26" s="12">
        <f>SUM(C27:C29)</f>
        <v>0</v>
      </c>
      <c r="D26" s="13"/>
      <c r="E26" s="14"/>
    </row>
    <row r="27" spans="1:5" ht="60" x14ac:dyDescent="0.25">
      <c r="A27" s="13" t="s">
        <v>112</v>
      </c>
      <c r="B27" s="16"/>
      <c r="C27" s="16"/>
      <c r="D27" s="13" t="s">
        <v>689</v>
      </c>
      <c r="E27" s="14" t="s">
        <v>686</v>
      </c>
    </row>
    <row r="28" spans="1:5" x14ac:dyDescent="0.25">
      <c r="A28" s="13" t="s">
        <v>115</v>
      </c>
      <c r="B28" s="16"/>
      <c r="C28" s="16"/>
      <c r="D28" s="13"/>
      <c r="E28" s="13"/>
    </row>
    <row r="29" spans="1:5" x14ac:dyDescent="0.25">
      <c r="A29" s="13" t="s">
        <v>116</v>
      </c>
      <c r="B29" s="19">
        <f>SUM(B30:B31)</f>
        <v>0</v>
      </c>
      <c r="C29" s="19">
        <f>SUM(C30:C31)</f>
        <v>0</v>
      </c>
      <c r="D29" s="13"/>
      <c r="E29" s="14"/>
    </row>
    <row r="30" spans="1:5" x14ac:dyDescent="0.25">
      <c r="A30" s="216" t="s">
        <v>117</v>
      </c>
      <c r="B30" s="217"/>
      <c r="C30" s="217"/>
      <c r="D30" s="228"/>
      <c r="E30" s="229"/>
    </row>
    <row r="31" spans="1:5" x14ac:dyDescent="0.25">
      <c r="A31" s="216" t="s">
        <v>118</v>
      </c>
      <c r="B31" s="217"/>
      <c r="C31" s="217"/>
      <c r="D31" s="216"/>
      <c r="E31" s="218"/>
    </row>
    <row r="32" spans="1:5" x14ac:dyDescent="0.25">
      <c r="A32" s="11" t="s">
        <v>119</v>
      </c>
      <c r="B32" s="30"/>
      <c r="C32" s="12"/>
      <c r="D32" s="13"/>
      <c r="E32" s="14"/>
    </row>
    <row r="33" spans="1:5" x14ac:dyDescent="0.25">
      <c r="A33" s="31"/>
      <c r="B33" s="120"/>
      <c r="C33" s="120"/>
      <c r="D33" s="33"/>
      <c r="E33" s="34"/>
    </row>
    <row r="34" spans="1:5" x14ac:dyDescent="0.25">
      <c r="A34" s="35" t="s">
        <v>120</v>
      </c>
      <c r="B34" s="39">
        <f>SUM(B5,B8,B12,B15,B16)</f>
        <v>287500000000</v>
      </c>
      <c r="C34" s="39">
        <f>SUM(C5,C8,C12,C15,C16)</f>
        <v>37025112685.125565</v>
      </c>
    </row>
    <row r="35" spans="1:5" x14ac:dyDescent="0.25">
      <c r="A35" s="31"/>
      <c r="B35" s="39"/>
      <c r="C35" s="40"/>
    </row>
    <row r="36" spans="1:5" x14ac:dyDescent="0.25">
      <c r="A36" s="31" t="s">
        <v>121</v>
      </c>
      <c r="B36" s="88">
        <v>7.7649999999999997</v>
      </c>
      <c r="C36" s="42"/>
    </row>
    <row r="37" spans="1:5" x14ac:dyDescent="0.25">
      <c r="A37" s="43" t="s">
        <v>122</v>
      </c>
      <c r="B37" s="45">
        <v>2921250000000</v>
      </c>
      <c r="C37" s="45">
        <v>372989000000</v>
      </c>
    </row>
    <row r="38" spans="1:5" x14ac:dyDescent="0.25">
      <c r="A38" s="43" t="s">
        <v>123</v>
      </c>
      <c r="B38" s="45">
        <v>7451000</v>
      </c>
      <c r="C38" s="45"/>
    </row>
    <row r="39" spans="1:5" x14ac:dyDescent="0.25">
      <c r="A39" s="43"/>
      <c r="B39" s="44"/>
      <c r="C39" s="44"/>
    </row>
    <row r="40" spans="1:5" x14ac:dyDescent="0.25">
      <c r="A40" s="5"/>
      <c r="B40" s="46" t="s">
        <v>690</v>
      </c>
      <c r="C40" s="47" t="s">
        <v>125</v>
      </c>
    </row>
    <row r="41" spans="1:5" x14ac:dyDescent="0.25">
      <c r="A41" s="43" t="s">
        <v>126</v>
      </c>
      <c r="B41" s="48">
        <f>$B37/$B$38</f>
        <v>392061.46825929405</v>
      </c>
      <c r="C41" s="48">
        <f>$C37/$B$38</f>
        <v>50058.918266004563</v>
      </c>
    </row>
    <row r="42" spans="1:5" x14ac:dyDescent="0.25">
      <c r="A42" s="43" t="s">
        <v>127</v>
      </c>
      <c r="B42" s="49">
        <f>($B34/$B37)*100</f>
        <v>9.841677364142063</v>
      </c>
      <c r="C42" s="49"/>
    </row>
    <row r="43" spans="1:5" x14ac:dyDescent="0.25">
      <c r="A43" s="43" t="s">
        <v>128</v>
      </c>
      <c r="B43" s="50">
        <f>$B34/$B$38</f>
        <v>38585.424775197956</v>
      </c>
      <c r="C43" s="50">
        <f>$C34/$B$38</f>
        <v>4969.1467836700531</v>
      </c>
    </row>
    <row r="44" spans="1:5" x14ac:dyDescent="0.25">
      <c r="A44" s="43"/>
      <c r="B44" s="50"/>
      <c r="C44" s="50"/>
    </row>
    <row r="45" spans="1:5" x14ac:dyDescent="0.25">
      <c r="A45" s="336" t="s">
        <v>1055</v>
      </c>
      <c r="B45" s="50"/>
      <c r="C45" s="50"/>
    </row>
    <row r="46" spans="1:5" x14ac:dyDescent="0.25">
      <c r="A46" s="336"/>
      <c r="B46" s="50"/>
      <c r="C46" s="50"/>
    </row>
    <row r="47" spans="1:5" x14ac:dyDescent="0.25">
      <c r="A47" s="43"/>
      <c r="B47" s="51"/>
    </row>
    <row r="48" spans="1:5" x14ac:dyDescent="0.25">
      <c r="A48" s="43" t="s">
        <v>129</v>
      </c>
    </row>
    <row r="49" spans="1:5" ht="15.45" customHeight="1" x14ac:dyDescent="0.25">
      <c r="A49" s="53" t="s">
        <v>130</v>
      </c>
      <c r="B49" s="53"/>
      <c r="C49" s="53"/>
      <c r="D49" s="53"/>
      <c r="E49" s="53"/>
    </row>
    <row r="50" spans="1:5" ht="15.45" customHeight="1" x14ac:dyDescent="0.25">
      <c r="A50" s="53"/>
      <c r="B50" s="53"/>
      <c r="C50" s="53"/>
      <c r="D50" s="53"/>
      <c r="E50" s="53"/>
    </row>
    <row r="52" spans="1:5" x14ac:dyDescent="0.25">
      <c r="A52" s="43" t="s">
        <v>131</v>
      </c>
    </row>
    <row r="53" spans="1:5" s="38" customFormat="1" x14ac:dyDescent="0.25">
      <c r="A53" s="54" t="s">
        <v>691</v>
      </c>
      <c r="B53" s="37"/>
      <c r="C53" s="147"/>
      <c r="D53" s="37"/>
      <c r="E53" s="37"/>
    </row>
    <row r="54" spans="1:5" s="38" customFormat="1" x14ac:dyDescent="0.25">
      <c r="A54" s="37" t="s">
        <v>692</v>
      </c>
      <c r="B54" s="37"/>
      <c r="C54" s="147"/>
      <c r="D54" s="37"/>
      <c r="E54" s="37"/>
    </row>
    <row r="55" spans="1:5" s="38" customFormat="1" x14ac:dyDescent="0.25">
      <c r="A55" s="37" t="s">
        <v>693</v>
      </c>
      <c r="B55" s="37"/>
      <c r="C55" s="147"/>
      <c r="D55" s="37"/>
      <c r="E55" s="37"/>
    </row>
    <row r="56" spans="1:5" s="38" customFormat="1" x14ac:dyDescent="0.3">
      <c r="A56" s="38" t="s">
        <v>694</v>
      </c>
      <c r="B56" s="34"/>
      <c r="C56" s="34"/>
      <c r="D56" s="34"/>
      <c r="E56" s="34"/>
    </row>
    <row r="57" spans="1:5" s="38" customFormat="1" x14ac:dyDescent="0.25">
      <c r="A57" s="5" t="s">
        <v>695</v>
      </c>
      <c r="D57" s="37"/>
    </row>
    <row r="58" spans="1:5" s="38" customFormat="1" x14ac:dyDescent="0.25">
      <c r="A58" s="38" t="s">
        <v>696</v>
      </c>
      <c r="D58" s="37"/>
    </row>
    <row r="59" spans="1:5" s="38" customFormat="1" x14ac:dyDescent="0.25">
      <c r="A59" s="5" t="s">
        <v>697</v>
      </c>
      <c r="D59" s="37"/>
    </row>
    <row r="60" spans="1:5" s="38" customFormat="1" x14ac:dyDescent="0.25">
      <c r="A60" s="5" t="s">
        <v>698</v>
      </c>
      <c r="D60" s="37"/>
    </row>
    <row r="63" spans="1:5" ht="15" customHeight="1" x14ac:dyDescent="0.25">
      <c r="A63" s="364" t="s">
        <v>1070</v>
      </c>
      <c r="B63" s="364"/>
      <c r="C63" s="364"/>
      <c r="D63" s="364"/>
      <c r="E63" s="364"/>
    </row>
    <row r="64" spans="1:5" x14ac:dyDescent="0.25">
      <c r="A64" s="364"/>
      <c r="B64" s="364"/>
      <c r="C64" s="364"/>
      <c r="D64" s="364"/>
      <c r="E64" s="364"/>
    </row>
    <row r="65" spans="4:4" x14ac:dyDescent="0.25">
      <c r="D65" s="38"/>
    </row>
  </sheetData>
  <sheetProtection algorithmName="SHA-512" hashValue="a4/yGwuDUNZNJ9vCZlej+GO+4BLdoP4sWbmgukZapTAVdh5oDXr13nP4Ob52wV4kHSI7Sh8KC2nXAsIZtVBXyA==" saltValue="OOvU4WdVo9YXkXL8oZS76g==" spinCount="100000" sheet="1" formatCells="0" formatColumns="0" formatRows="0" insertColumns="0" insertRows="0" insertHyperlinks="0" deleteColumns="0" deleteRows="0" sort="0" autoFilter="0" pivotTables="0"/>
  <mergeCells count="1">
    <mergeCell ref="A63:E64"/>
  </mergeCells>
  <hyperlinks>
    <hyperlink ref="A2" location="Index!E34" display="[Back to Index]" xr:uid="{260C27E3-7D2B-42A7-B10F-FB2731422FA9}"/>
  </hyperlinks>
  <pageMargins left="0.7" right="0.7" top="0.75" bottom="0.75" header="0.3" footer="0.3"/>
  <pageSetup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D9F7-0C79-4B44-9BF2-7D3B494B0EFC}">
  <sheetPr codeName="Sheet38">
    <tabColor theme="5" tint="0.59999389629810485"/>
  </sheetPr>
  <dimension ref="A1:E59"/>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667</v>
      </c>
      <c r="B1" s="2" t="s">
        <v>73</v>
      </c>
      <c r="C1" s="214">
        <v>20.646750000000001</v>
      </c>
      <c r="D1" s="4" t="s">
        <v>1045</v>
      </c>
    </row>
    <row r="2" spans="1:5" s="5" customFormat="1" x14ac:dyDescent="0.25">
      <c r="A2" s="324" t="s">
        <v>74</v>
      </c>
      <c r="C2" s="214">
        <v>0.45317869999999999</v>
      </c>
      <c r="D2" s="4" t="s">
        <v>1046</v>
      </c>
    </row>
    <row r="3" spans="1:5" x14ac:dyDescent="0.25">
      <c r="A3" s="154"/>
      <c r="B3" s="222"/>
      <c r="C3" s="142"/>
    </row>
    <row r="4" spans="1:5" s="10" customFormat="1" x14ac:dyDescent="0.3">
      <c r="A4" s="8" t="s">
        <v>75</v>
      </c>
      <c r="B4" s="9" t="s">
        <v>668</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90" x14ac:dyDescent="0.25">
      <c r="A7" s="14" t="s">
        <v>84</v>
      </c>
      <c r="B7" s="17"/>
      <c r="C7" s="17"/>
      <c r="D7" s="13" t="s">
        <v>669</v>
      </c>
      <c r="E7" s="14" t="s">
        <v>634</v>
      </c>
    </row>
    <row r="8" spans="1:5" ht="30" x14ac:dyDescent="0.25">
      <c r="A8" s="11" t="s">
        <v>87</v>
      </c>
      <c r="B8" s="12">
        <f>SUM(B9:B11)</f>
        <v>5000000000000</v>
      </c>
      <c r="C8" s="12">
        <f>SUM(C9:C11)</f>
        <v>4098071775.2683005</v>
      </c>
      <c r="D8" s="13"/>
      <c r="E8" s="14"/>
    </row>
    <row r="9" spans="1:5" ht="60" x14ac:dyDescent="0.25">
      <c r="A9" s="14" t="s">
        <v>88</v>
      </c>
      <c r="B9" s="16">
        <f>5*10^12</f>
        <v>5000000000000</v>
      </c>
      <c r="C9" s="16">
        <f>B9/$B$36</f>
        <v>4098071775.2683005</v>
      </c>
      <c r="D9" s="13" t="s">
        <v>670</v>
      </c>
      <c r="E9" s="14" t="s">
        <v>107</v>
      </c>
    </row>
    <row r="10" spans="1:5" ht="60" x14ac:dyDescent="0.25">
      <c r="A10" s="14" t="s">
        <v>90</v>
      </c>
      <c r="B10" s="16"/>
      <c r="C10" s="16"/>
      <c r="D10" s="13" t="s">
        <v>671</v>
      </c>
      <c r="E10" s="14" t="s">
        <v>107</v>
      </c>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16"/>
      <c r="C13" s="16"/>
      <c r="D13" s="13"/>
      <c r="E13" s="14"/>
    </row>
    <row r="14" spans="1:5" x14ac:dyDescent="0.25">
      <c r="A14" s="14" t="s">
        <v>96</v>
      </c>
      <c r="B14" s="16"/>
      <c r="C14" s="16"/>
      <c r="D14" s="13"/>
      <c r="E14" s="14"/>
    </row>
    <row r="15" spans="1:5" ht="45" x14ac:dyDescent="0.25">
      <c r="A15" s="11" t="s">
        <v>97</v>
      </c>
      <c r="B15" s="12"/>
      <c r="C15" s="12"/>
      <c r="D15" s="13"/>
      <c r="E15" s="14"/>
    </row>
    <row r="16" spans="1:5" ht="75" x14ac:dyDescent="0.25">
      <c r="A16" s="11" t="s">
        <v>98</v>
      </c>
      <c r="B16" s="12">
        <f>13*10^12</f>
        <v>13000000000000</v>
      </c>
      <c r="C16" s="12">
        <f>B16/$B$36</f>
        <v>10654986615.697582</v>
      </c>
      <c r="D16" s="13" t="s">
        <v>672</v>
      </c>
      <c r="E16" s="14" t="s">
        <v>107</v>
      </c>
    </row>
    <row r="17" spans="1:5" x14ac:dyDescent="0.25">
      <c r="A17" s="13" t="s">
        <v>99</v>
      </c>
      <c r="B17" s="16"/>
      <c r="C17" s="16"/>
      <c r="D17" s="13"/>
      <c r="E17" s="14"/>
    </row>
    <row r="18" spans="1:5" x14ac:dyDescent="0.25">
      <c r="A18" s="13" t="s">
        <v>101</v>
      </c>
      <c r="B18" s="16"/>
      <c r="C18" s="16"/>
      <c r="D18" s="13"/>
      <c r="E18" s="14"/>
    </row>
    <row r="19" spans="1:5" ht="30" x14ac:dyDescent="0.25">
      <c r="A19" s="11" t="s">
        <v>103</v>
      </c>
      <c r="B19" s="12"/>
      <c r="C19" s="12"/>
      <c r="D19" s="13"/>
      <c r="E19" s="14"/>
    </row>
    <row r="20" spans="1:5" x14ac:dyDescent="0.25">
      <c r="A20" s="14" t="s">
        <v>104</v>
      </c>
      <c r="B20" s="16"/>
      <c r="C20" s="16"/>
      <c r="D20" s="13"/>
      <c r="E20" s="21"/>
    </row>
    <row r="21" spans="1:5" ht="30" x14ac:dyDescent="0.25">
      <c r="A21" s="22" t="s">
        <v>105</v>
      </c>
      <c r="B21" s="12">
        <f>SUM(B22,B24)</f>
        <v>1500000000000</v>
      </c>
      <c r="C21" s="12">
        <f>SUM(C22,C24)</f>
        <v>1229421532.5804901</v>
      </c>
      <c r="E21" s="14"/>
    </row>
    <row r="22" spans="1:5" x14ac:dyDescent="0.25">
      <c r="A22" s="22" t="s">
        <v>108</v>
      </c>
      <c r="B22" s="16"/>
      <c r="C22" s="16"/>
      <c r="D22" s="13"/>
      <c r="E22" s="14"/>
    </row>
    <row r="23" spans="1:5" x14ac:dyDescent="0.25">
      <c r="A23" s="13" t="s">
        <v>643</v>
      </c>
      <c r="B23" s="16"/>
      <c r="C23" s="16"/>
      <c r="D23" s="13"/>
      <c r="E23" s="14"/>
    </row>
    <row r="24" spans="1:5" ht="60" x14ac:dyDescent="0.25">
      <c r="A24" s="22" t="s">
        <v>110</v>
      </c>
      <c r="B24" s="16">
        <f>1.5*10^12</f>
        <v>1500000000000</v>
      </c>
      <c r="C24" s="16">
        <f>B24/$B$36</f>
        <v>1229421532.5804901</v>
      </c>
      <c r="D24" s="13" t="s">
        <v>673</v>
      </c>
      <c r="E24" s="14" t="s">
        <v>107</v>
      </c>
    </row>
    <row r="25" spans="1:5" x14ac:dyDescent="0.25">
      <c r="A25" s="13" t="s">
        <v>109</v>
      </c>
      <c r="B25" s="16"/>
      <c r="C25" s="16"/>
      <c r="D25" s="13"/>
      <c r="E25" s="14"/>
    </row>
    <row r="26" spans="1:5" ht="15.45" customHeight="1" x14ac:dyDescent="0.25">
      <c r="A26" s="22" t="s">
        <v>111</v>
      </c>
      <c r="B26" s="12">
        <f>SUM(B27:B29)</f>
        <v>15049760810000</v>
      </c>
      <c r="C26" s="12">
        <f>SUM(C27:C29)</f>
        <v>12335000000</v>
      </c>
      <c r="D26" s="13"/>
      <c r="E26" s="14"/>
    </row>
    <row r="27" spans="1:5" ht="60" x14ac:dyDescent="0.25">
      <c r="A27" s="13" t="s">
        <v>112</v>
      </c>
      <c r="B27" s="225">
        <f>C27*$B$36</f>
        <v>15049760810000</v>
      </c>
      <c r="C27" s="16">
        <f>12.335*10^9</f>
        <v>12335000000</v>
      </c>
      <c r="D27" s="13" t="s">
        <v>674</v>
      </c>
      <c r="E27" s="14" t="s">
        <v>534</v>
      </c>
    </row>
    <row r="28" spans="1:5" ht="90" x14ac:dyDescent="0.25">
      <c r="A28" s="13" t="s">
        <v>115</v>
      </c>
      <c r="B28" s="16"/>
      <c r="C28" s="16"/>
      <c r="D28" s="13" t="s">
        <v>675</v>
      </c>
      <c r="E28" s="14" t="s">
        <v>107</v>
      </c>
    </row>
    <row r="29" spans="1:5" x14ac:dyDescent="0.25">
      <c r="A29" s="13" t="s">
        <v>116</v>
      </c>
      <c r="B29" s="19">
        <f>SUM(B30:B31)</f>
        <v>0</v>
      </c>
      <c r="C29" s="19">
        <f>SUM(C30:C31)</f>
        <v>0</v>
      </c>
      <c r="D29" s="13"/>
      <c r="E29" s="14"/>
    </row>
    <row r="30" spans="1:5" x14ac:dyDescent="0.25">
      <c r="A30" s="216" t="s">
        <v>117</v>
      </c>
      <c r="B30" s="217"/>
      <c r="C30" s="217"/>
      <c r="D30" s="216"/>
      <c r="E30" s="223"/>
    </row>
    <row r="31" spans="1:5" x14ac:dyDescent="0.25">
      <c r="A31" s="216" t="s">
        <v>118</v>
      </c>
      <c r="B31" s="217"/>
      <c r="C31" s="217"/>
      <c r="D31" s="216"/>
      <c r="E31" s="218"/>
    </row>
    <row r="32" spans="1:5" ht="270" x14ac:dyDescent="0.25">
      <c r="A32" s="11" t="s">
        <v>119</v>
      </c>
      <c r="B32" s="12">
        <f>(16+100)*1000000000000</f>
        <v>116000000000000</v>
      </c>
      <c r="C32" s="12">
        <f>B32/$B$36</f>
        <v>95075265186.224579</v>
      </c>
      <c r="D32" s="13" t="s">
        <v>676</v>
      </c>
      <c r="E32" s="14" t="s">
        <v>107</v>
      </c>
    </row>
    <row r="33" spans="1:5" x14ac:dyDescent="0.25">
      <c r="A33" s="31"/>
      <c r="B33" s="226"/>
      <c r="C33" s="226"/>
      <c r="D33" s="33"/>
      <c r="E33" s="34"/>
    </row>
    <row r="34" spans="1:5" x14ac:dyDescent="0.25">
      <c r="A34" s="35" t="s">
        <v>120</v>
      </c>
      <c r="B34" s="39">
        <f>SUM(B5,B8,B12,B15,B16,B32)</f>
        <v>134000000000000</v>
      </c>
      <c r="C34" s="39">
        <f>SUM(C5,C8,C12,C15,C16,C32)</f>
        <v>109828323577.19046</v>
      </c>
      <c r="D34" s="37" t="s">
        <v>154</v>
      </c>
    </row>
    <row r="35" spans="1:5" x14ac:dyDescent="0.25">
      <c r="A35" s="31"/>
      <c r="B35" s="39"/>
      <c r="C35" s="40"/>
    </row>
    <row r="36" spans="1:5" x14ac:dyDescent="0.25">
      <c r="A36" s="31" t="s">
        <v>121</v>
      </c>
      <c r="B36" s="88">
        <v>1220.086</v>
      </c>
      <c r="C36" s="42"/>
    </row>
    <row r="37" spans="1:5" x14ac:dyDescent="0.25">
      <c r="A37" s="43" t="s">
        <v>122</v>
      </c>
      <c r="B37" s="179">
        <v>1913636320000000</v>
      </c>
      <c r="C37" s="179">
        <v>1629530000000</v>
      </c>
    </row>
    <row r="38" spans="1:5" x14ac:dyDescent="0.25">
      <c r="A38" s="43" t="s">
        <v>123</v>
      </c>
      <c r="B38" s="213">
        <v>51635256</v>
      </c>
      <c r="C38" s="213"/>
    </row>
    <row r="39" spans="1:5" x14ac:dyDescent="0.25">
      <c r="A39" s="43"/>
      <c r="B39" s="44"/>
      <c r="C39" s="44"/>
    </row>
    <row r="40" spans="1:5" x14ac:dyDescent="0.25">
      <c r="A40" s="5"/>
      <c r="B40" s="46" t="s">
        <v>677</v>
      </c>
      <c r="C40" s="47" t="s">
        <v>125</v>
      </c>
    </row>
    <row r="41" spans="1:5" x14ac:dyDescent="0.25">
      <c r="A41" s="43" t="s">
        <v>126</v>
      </c>
      <c r="B41" s="48">
        <f>$B37/$B$38</f>
        <v>37060653.286971211</v>
      </c>
      <c r="C41" s="48">
        <f>$C37/$B$38</f>
        <v>31558.476247314433</v>
      </c>
    </row>
    <row r="42" spans="1:5" x14ac:dyDescent="0.25">
      <c r="A42" s="43" t="s">
        <v>127</v>
      </c>
      <c r="B42" s="49">
        <f>($B34/$B37)*100</f>
        <v>7.0023754565862335</v>
      </c>
      <c r="C42" s="49"/>
    </row>
    <row r="43" spans="1:5" x14ac:dyDescent="0.25">
      <c r="A43" s="43" t="s">
        <v>128</v>
      </c>
      <c r="B43" s="50">
        <f>$B34/$B$38</f>
        <v>2595126.0898173912</v>
      </c>
      <c r="C43" s="50">
        <f>$C34/$B$38</f>
        <v>2127.0025963886083</v>
      </c>
    </row>
    <row r="44" spans="1:5" x14ac:dyDescent="0.25">
      <c r="A44" s="43"/>
      <c r="B44" s="50"/>
      <c r="C44" s="50"/>
    </row>
    <row r="45" spans="1:5" x14ac:dyDescent="0.25">
      <c r="A45" s="336" t="s">
        <v>1057</v>
      </c>
      <c r="B45" s="50"/>
      <c r="C45" s="50"/>
    </row>
    <row r="46" spans="1:5" x14ac:dyDescent="0.25">
      <c r="A46" s="336"/>
      <c r="B46" s="50"/>
      <c r="C46" s="50"/>
    </row>
    <row r="47" spans="1:5" x14ac:dyDescent="0.25">
      <c r="A47" s="43"/>
      <c r="B47" s="51"/>
    </row>
    <row r="48" spans="1:5" x14ac:dyDescent="0.25">
      <c r="A48" s="43" t="s">
        <v>129</v>
      </c>
    </row>
    <row r="49" spans="1:5" s="37" customFormat="1" ht="15.45" customHeight="1" x14ac:dyDescent="0.25">
      <c r="A49" s="53" t="s">
        <v>130</v>
      </c>
      <c r="B49" s="139"/>
      <c r="C49" s="139"/>
      <c r="D49" s="139"/>
      <c r="E49" s="70"/>
    </row>
    <row r="50" spans="1:5" s="37" customFormat="1" ht="15.45" customHeight="1" x14ac:dyDescent="0.25">
      <c r="A50" s="53"/>
      <c r="B50" s="139"/>
      <c r="C50" s="139"/>
      <c r="D50" s="139"/>
      <c r="E50" s="70"/>
    </row>
    <row r="52" spans="1:5" x14ac:dyDescent="0.25">
      <c r="A52" s="43" t="s">
        <v>131</v>
      </c>
    </row>
    <row r="53" spans="1:5" s="38" customFormat="1" x14ac:dyDescent="0.3">
      <c r="A53" s="364" t="s">
        <v>678</v>
      </c>
      <c r="B53" s="364"/>
      <c r="C53" s="364"/>
      <c r="D53" s="364"/>
      <c r="E53" s="364"/>
    </row>
    <row r="54" spans="1:5" s="38" customFormat="1" x14ac:dyDescent="0.25">
      <c r="A54" s="5" t="s">
        <v>666</v>
      </c>
      <c r="D54" s="37"/>
    </row>
    <row r="55" spans="1:5" s="38" customFormat="1" x14ac:dyDescent="0.25">
      <c r="A55" s="5"/>
      <c r="D55" s="37"/>
    </row>
    <row r="56" spans="1:5" s="38" customFormat="1" x14ac:dyDescent="0.25">
      <c r="A56" s="5"/>
      <c r="D56" s="37"/>
    </row>
    <row r="57" spans="1:5" ht="15" customHeight="1" x14ac:dyDescent="0.25">
      <c r="A57" s="364" t="s">
        <v>1066</v>
      </c>
      <c r="B57" s="364"/>
      <c r="C57" s="364"/>
      <c r="D57" s="364"/>
      <c r="E57" s="364"/>
    </row>
    <row r="58" spans="1:5" x14ac:dyDescent="0.25">
      <c r="A58" s="364"/>
      <c r="B58" s="364"/>
      <c r="C58" s="364"/>
      <c r="D58" s="364"/>
      <c r="E58" s="364"/>
    </row>
    <row r="59" spans="1:5" x14ac:dyDescent="0.25">
      <c r="D59" s="38"/>
    </row>
  </sheetData>
  <sheetProtection algorithmName="SHA-512" hashValue="mOrxabx2VvUNv3hi6zYJ7dCNoGU036PByApwHR5APUoEd3Y1hmvQA07RK7axmYDuML/5TYHcSuVeFChthG5B1A==" saltValue="Ic6Cooy3PjmFu9tG2us88Q==" spinCount="100000" sheet="1" formatCells="0" formatColumns="0" formatRows="0" insertColumns="0" insertRows="0" insertHyperlinks="0" deleteColumns="0" deleteRows="0" sort="0" autoFilter="0" pivotTables="0"/>
  <mergeCells count="2">
    <mergeCell ref="A53:E53"/>
    <mergeCell ref="A57:E58"/>
  </mergeCells>
  <hyperlinks>
    <hyperlink ref="A2" location="Index!E37" display="[Back to Index]" xr:uid="{45CE83D7-CBAA-4746-A7C6-FA50EA6CD746}"/>
  </hyperlinks>
  <pageMargins left="0.7" right="0.7" top="0.75" bottom="0.75" header="0.3" footer="0.3"/>
  <pageSetup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65AE-78AC-458E-8386-11B6C4D3C1C2}">
  <sheetPr codeName="Sheet39">
    <tabColor theme="5" tint="0.59999389629810485"/>
  </sheetPr>
  <dimension ref="A1:E59"/>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38</v>
      </c>
      <c r="B1" s="2" t="s">
        <v>73</v>
      </c>
      <c r="C1" s="80">
        <v>0.9778538</v>
      </c>
      <c r="D1" s="4" t="s">
        <v>1045</v>
      </c>
    </row>
    <row r="2" spans="1:5" s="5" customFormat="1" x14ac:dyDescent="0.25">
      <c r="A2" s="324" t="s">
        <v>74</v>
      </c>
      <c r="C2" s="80">
        <v>0</v>
      </c>
      <c r="D2" s="4" t="s">
        <v>1046</v>
      </c>
    </row>
    <row r="3" spans="1:5" x14ac:dyDescent="0.25">
      <c r="A3" s="154"/>
      <c r="B3" s="222"/>
      <c r="C3" s="142"/>
    </row>
    <row r="4" spans="1:5" s="10" customFormat="1" x14ac:dyDescent="0.3">
      <c r="A4" s="8" t="s">
        <v>75</v>
      </c>
      <c r="B4" s="9" t="s">
        <v>794</v>
      </c>
      <c r="C4" s="9" t="s">
        <v>77</v>
      </c>
      <c r="D4" s="9" t="s">
        <v>78</v>
      </c>
      <c r="E4" s="8" t="s">
        <v>79</v>
      </c>
    </row>
    <row r="5" spans="1:5" s="15" customFormat="1" ht="60" x14ac:dyDescent="0.25">
      <c r="A5" s="11" t="s">
        <v>80</v>
      </c>
      <c r="B5" s="12">
        <f>SUM(B6:B7)</f>
        <v>324000000000</v>
      </c>
      <c r="C5" s="12">
        <f>SUM(C6:C7)</f>
        <v>117539548.9746307</v>
      </c>
      <c r="D5" s="13"/>
      <c r="E5" s="14"/>
    </row>
    <row r="6" spans="1:5" s="15" customFormat="1" ht="45" x14ac:dyDescent="0.25">
      <c r="A6" s="14" t="s">
        <v>81</v>
      </c>
      <c r="B6" s="16"/>
      <c r="C6" s="16"/>
      <c r="D6" s="13"/>
      <c r="E6" s="14"/>
    </row>
    <row r="7" spans="1:5" s="15" customFormat="1" ht="60" x14ac:dyDescent="0.25">
      <c r="A7" s="14" t="s">
        <v>84</v>
      </c>
      <c r="B7" s="16">
        <f>324*10^9</f>
        <v>324000000000</v>
      </c>
      <c r="C7" s="16">
        <f>B7/$B$36</f>
        <v>117539548.9746307</v>
      </c>
      <c r="D7" s="13" t="s">
        <v>1075</v>
      </c>
      <c r="E7" s="14" t="s">
        <v>205</v>
      </c>
    </row>
    <row r="8" spans="1:5" ht="30" x14ac:dyDescent="0.25">
      <c r="A8" s="11" t="s">
        <v>87</v>
      </c>
      <c r="B8" s="12">
        <f>SUM(B9:B11)</f>
        <v>0</v>
      </c>
      <c r="C8" s="12">
        <f>SUM(C9:C11)</f>
        <v>0</v>
      </c>
      <c r="D8" s="13"/>
      <c r="E8" s="14"/>
    </row>
    <row r="9" spans="1:5" ht="60" x14ac:dyDescent="0.25">
      <c r="A9" s="14" t="s">
        <v>88</v>
      </c>
      <c r="B9" s="16"/>
      <c r="C9" s="16"/>
      <c r="D9" s="13"/>
      <c r="E9" s="14"/>
    </row>
    <row r="10" spans="1:5" ht="60" x14ac:dyDescent="0.25">
      <c r="A10" s="14" t="s">
        <v>90</v>
      </c>
      <c r="B10" s="16"/>
      <c r="C10" s="16"/>
      <c r="D10" s="13" t="s">
        <v>795</v>
      </c>
      <c r="E10" s="14" t="s">
        <v>205</v>
      </c>
    </row>
    <row r="11" spans="1:5" ht="60" x14ac:dyDescent="0.25">
      <c r="A11" s="14" t="s">
        <v>92</v>
      </c>
      <c r="B11" s="19"/>
      <c r="C11" s="19"/>
      <c r="D11" s="13" t="s">
        <v>796</v>
      </c>
      <c r="E11" s="14" t="s">
        <v>205</v>
      </c>
    </row>
    <row r="12" spans="1:5" ht="45" x14ac:dyDescent="0.25">
      <c r="A12" s="11" t="s">
        <v>93</v>
      </c>
      <c r="B12" s="12">
        <f>SUM(B13:B14)</f>
        <v>0</v>
      </c>
      <c r="C12" s="12">
        <f>SUM(C13:C14)</f>
        <v>0</v>
      </c>
      <c r="D12" s="56"/>
      <c r="E12" s="14"/>
    </row>
    <row r="13" spans="1:5" ht="60" x14ac:dyDescent="0.25">
      <c r="A13" s="14" t="s">
        <v>94</v>
      </c>
      <c r="B13" s="23"/>
      <c r="C13" s="23"/>
      <c r="D13" s="13" t="s">
        <v>797</v>
      </c>
      <c r="E13" s="14" t="s">
        <v>205</v>
      </c>
    </row>
    <row r="14" spans="1:5" x14ac:dyDescent="0.25">
      <c r="A14" s="14" t="s">
        <v>96</v>
      </c>
      <c r="B14" s="16"/>
      <c r="C14" s="16"/>
      <c r="D14" s="13"/>
      <c r="E14" s="14"/>
    </row>
    <row r="15" spans="1:5" ht="45" x14ac:dyDescent="0.25">
      <c r="A15" s="11" t="s">
        <v>97</v>
      </c>
      <c r="B15" s="12"/>
      <c r="C15" s="12"/>
      <c r="D15" s="13"/>
      <c r="E15" s="14"/>
    </row>
    <row r="16" spans="1:5" ht="180" x14ac:dyDescent="0.25">
      <c r="A16" s="11" t="s">
        <v>98</v>
      </c>
      <c r="B16" s="12">
        <f>(5.1*10^12)+(17*10^9)</f>
        <v>5117000000000</v>
      </c>
      <c r="C16" s="12">
        <f>B16/$B$36</f>
        <v>1856326765.7505717</v>
      </c>
      <c r="D16" s="13" t="s">
        <v>1076</v>
      </c>
      <c r="E16" s="14" t="s">
        <v>205</v>
      </c>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87657304199.999985</v>
      </c>
      <c r="C26" s="12">
        <f>SUM(C27:C29)</f>
        <v>31799999.999999996</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6">
        <f>SUM(B30:B31)</f>
        <v>87657304199.999985</v>
      </c>
      <c r="C29" s="16">
        <f>SUM(C30:C31)</f>
        <v>31799999.999999996</v>
      </c>
      <c r="D29" s="13"/>
      <c r="E29" s="14"/>
    </row>
    <row r="30" spans="1:5" ht="45" x14ac:dyDescent="0.25">
      <c r="A30" s="13" t="s">
        <v>117</v>
      </c>
      <c r="B30" s="16">
        <f>C30*$B$36</f>
        <v>7442601299.999999</v>
      </c>
      <c r="C30" s="16">
        <f>(0.225+1.4+1+0.075)*10^6</f>
        <v>2700000</v>
      </c>
      <c r="D30" s="83" t="s">
        <v>798</v>
      </c>
      <c r="E30" s="24" t="s">
        <v>209</v>
      </c>
    </row>
    <row r="31" spans="1:5" ht="210" x14ac:dyDescent="0.25">
      <c r="A31" s="13" t="s">
        <v>118</v>
      </c>
      <c r="B31" s="19">
        <f>C31*$B$36</f>
        <v>80214702899.999985</v>
      </c>
      <c r="C31" s="19">
        <f>(2.2+26.9)*10^6</f>
        <v>29099999.999999996</v>
      </c>
      <c r="D31" s="13" t="s">
        <v>799</v>
      </c>
      <c r="E31" s="14" t="s">
        <v>800</v>
      </c>
    </row>
    <row r="32" spans="1:5" x14ac:dyDescent="0.25">
      <c r="A32" s="11" t="s">
        <v>119</v>
      </c>
      <c r="B32" s="30"/>
      <c r="C32" s="12"/>
      <c r="D32" s="13"/>
      <c r="E32" s="14"/>
    </row>
    <row r="33" spans="1:5" x14ac:dyDescent="0.25">
      <c r="A33" s="31"/>
      <c r="B33" s="120"/>
      <c r="C33" s="120"/>
      <c r="D33" s="33"/>
      <c r="E33" s="34"/>
    </row>
    <row r="34" spans="1:5" x14ac:dyDescent="0.25">
      <c r="A34" s="35" t="s">
        <v>120</v>
      </c>
      <c r="B34" s="39">
        <f>SUM(B5,B8,B12,B15,B16)</f>
        <v>5441000000000</v>
      </c>
      <c r="C34" s="39">
        <f>SUM(C5,C8,C12,C15,C16)</f>
        <v>1973866314.7252023</v>
      </c>
    </row>
    <row r="35" spans="1:5" x14ac:dyDescent="0.25">
      <c r="A35" s="31"/>
      <c r="B35" s="39"/>
      <c r="C35" s="40"/>
    </row>
    <row r="36" spans="1:5" x14ac:dyDescent="0.25">
      <c r="A36" s="31" t="s">
        <v>121</v>
      </c>
      <c r="B36" s="88">
        <v>2756.5189999999998</v>
      </c>
      <c r="C36" s="42"/>
    </row>
    <row r="37" spans="1:5" x14ac:dyDescent="0.25">
      <c r="A37" s="43" t="s">
        <v>122</v>
      </c>
      <c r="B37" s="45">
        <v>37128920000000</v>
      </c>
      <c r="C37" s="45">
        <v>13637000000</v>
      </c>
    </row>
    <row r="38" spans="1:5" x14ac:dyDescent="0.25">
      <c r="A38" s="43" t="s">
        <v>123</v>
      </c>
      <c r="B38" s="45">
        <v>3170208</v>
      </c>
      <c r="C38" s="45"/>
    </row>
    <row r="39" spans="1:5" x14ac:dyDescent="0.25">
      <c r="A39" s="43"/>
      <c r="B39" s="44"/>
      <c r="C39" s="44"/>
    </row>
    <row r="40" spans="1:5" x14ac:dyDescent="0.25">
      <c r="A40" s="5"/>
      <c r="B40" s="46" t="s">
        <v>801</v>
      </c>
      <c r="C40" s="47" t="s">
        <v>125</v>
      </c>
    </row>
    <row r="41" spans="1:5" x14ac:dyDescent="0.25">
      <c r="A41" s="43" t="s">
        <v>126</v>
      </c>
      <c r="B41" s="48">
        <f>$B37/$B$38</f>
        <v>11711824.586904077</v>
      </c>
      <c r="C41" s="48">
        <f>$C37/$B$38</f>
        <v>4301.6104936963129</v>
      </c>
    </row>
    <row r="42" spans="1:5" x14ac:dyDescent="0.25">
      <c r="A42" s="43" t="s">
        <v>127</v>
      </c>
      <c r="B42" s="49">
        <f>($B34/$B37)*100</f>
        <v>14.654344914961168</v>
      </c>
      <c r="C42" s="49"/>
    </row>
    <row r="43" spans="1:5" x14ac:dyDescent="0.25">
      <c r="A43" s="43" t="s">
        <v>128</v>
      </c>
      <c r="B43" s="50">
        <f>$B34/$B$38</f>
        <v>1716291.1708001494</v>
      </c>
      <c r="C43" s="50">
        <f>$C$34/$B$38</f>
        <v>622.62990779318022</v>
      </c>
    </row>
    <row r="44" spans="1:5" x14ac:dyDescent="0.25">
      <c r="A44" s="43"/>
      <c r="B44" s="50"/>
      <c r="C44" s="50"/>
    </row>
    <row r="45" spans="1:5" x14ac:dyDescent="0.25">
      <c r="A45" s="336" t="s">
        <v>1057</v>
      </c>
      <c r="B45" s="50"/>
      <c r="C45" s="50"/>
    </row>
    <row r="46" spans="1:5" x14ac:dyDescent="0.25">
      <c r="A46" s="336"/>
      <c r="B46" s="50"/>
      <c r="C46" s="50"/>
    </row>
    <row r="47" spans="1:5" x14ac:dyDescent="0.25">
      <c r="A47" s="43"/>
      <c r="B47" s="51"/>
    </row>
    <row r="48" spans="1:5" x14ac:dyDescent="0.25">
      <c r="A48" s="43" t="s">
        <v>129</v>
      </c>
    </row>
    <row r="49" spans="1:5" ht="15.6" customHeight="1" x14ac:dyDescent="0.25">
      <c r="A49" s="53" t="s">
        <v>664</v>
      </c>
      <c r="B49" s="53"/>
      <c r="C49" s="53"/>
      <c r="D49" s="53"/>
      <c r="E49" s="53"/>
    </row>
    <row r="50" spans="1:5" ht="15.6" customHeight="1" x14ac:dyDescent="0.25">
      <c r="A50" s="53"/>
      <c r="B50" s="53"/>
      <c r="C50" s="53"/>
      <c r="D50" s="53"/>
      <c r="E50" s="53"/>
    </row>
    <row r="52" spans="1:5" x14ac:dyDescent="0.25">
      <c r="A52" s="43" t="s">
        <v>131</v>
      </c>
    </row>
    <row r="53" spans="1:5" s="38" customFormat="1" x14ac:dyDescent="0.3">
      <c r="A53" s="365" t="s">
        <v>802</v>
      </c>
      <c r="B53" s="365"/>
      <c r="C53" s="365"/>
      <c r="D53" s="365"/>
      <c r="E53" s="365"/>
    </row>
    <row r="54" spans="1:5" s="38" customFormat="1" x14ac:dyDescent="0.3">
      <c r="A54" s="365"/>
      <c r="B54" s="365"/>
      <c r="C54" s="365"/>
      <c r="D54" s="365"/>
      <c r="E54" s="365"/>
    </row>
    <row r="55" spans="1:5" s="38" customFormat="1" x14ac:dyDescent="0.25">
      <c r="A55" s="5" t="s">
        <v>772</v>
      </c>
      <c r="D55" s="37"/>
    </row>
    <row r="56" spans="1:5" s="38" customFormat="1" x14ac:dyDescent="0.25">
      <c r="D56" s="37"/>
    </row>
    <row r="58" spans="1:5" x14ac:dyDescent="0.25">
      <c r="A58" s="364" t="s">
        <v>1060</v>
      </c>
      <c r="B58" s="364"/>
      <c r="C58" s="364"/>
      <c r="D58" s="364"/>
      <c r="E58" s="364"/>
    </row>
    <row r="59" spans="1:5" x14ac:dyDescent="0.25">
      <c r="A59" s="364"/>
      <c r="B59" s="364"/>
      <c r="C59" s="364"/>
      <c r="D59" s="364"/>
      <c r="E59" s="364"/>
    </row>
  </sheetData>
  <sheetProtection algorithmName="SHA-512" hashValue="rklm/dnp1YzSDNVPYk+ZiqzRcSfdS8u55pTaBzE4BBEpAmPKZJAF3dssX3DPBjr1sixbyrQWLpijdbisQ1i9hQ==" saltValue="U9Fx3BB8uPp/8UePFNljDg==" spinCount="100000" sheet="1" formatCells="0" formatColumns="0" formatRows="0" insertColumns="0" insertRows="0" insertHyperlinks="0" deleteColumns="0" deleteRows="0" sort="0" autoFilter="0" pivotTables="0"/>
  <mergeCells count="2">
    <mergeCell ref="A53:E54"/>
    <mergeCell ref="A58:E59"/>
  </mergeCells>
  <hyperlinks>
    <hyperlink ref="A2" location="Index!E35" display="[Back to Index]" xr:uid="{8133196E-F898-40DA-84ED-5B0CD8A42C19}"/>
  </hyperlink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D60F9-C57E-47CF-A43E-EF25805DE482}">
  <sheetPr codeName="Sheet4">
    <tabColor theme="7" tint="0.79998168889431442"/>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8</v>
      </c>
      <c r="B1" s="2" t="s">
        <v>73</v>
      </c>
      <c r="C1" s="3">
        <v>2.3342749999999999</v>
      </c>
      <c r="D1" s="4" t="s">
        <v>1045</v>
      </c>
    </row>
    <row r="2" spans="1:5" s="5" customFormat="1" x14ac:dyDescent="0.25">
      <c r="A2" s="324" t="s">
        <v>74</v>
      </c>
      <c r="C2" s="3">
        <v>0.1998779</v>
      </c>
      <c r="D2" s="4" t="s">
        <v>1046</v>
      </c>
    </row>
    <row r="3" spans="1:5" x14ac:dyDescent="0.25">
      <c r="A3" s="154"/>
      <c r="B3" s="222"/>
      <c r="C3" s="142"/>
    </row>
    <row r="4" spans="1:5" s="10" customFormat="1" x14ac:dyDescent="0.3">
      <c r="A4" s="8" t="s">
        <v>75</v>
      </c>
      <c r="B4" s="9" t="s">
        <v>699</v>
      </c>
      <c r="C4" s="9" t="s">
        <v>77</v>
      </c>
      <c r="D4" s="9" t="s">
        <v>78</v>
      </c>
      <c r="E4" s="8" t="s">
        <v>79</v>
      </c>
    </row>
    <row r="5" spans="1:5" s="15" customFormat="1" ht="60" x14ac:dyDescent="0.25">
      <c r="A5" s="11" t="s">
        <v>80</v>
      </c>
      <c r="B5" s="12">
        <f>SUM(B6:B7)</f>
        <v>300000000000000</v>
      </c>
      <c r="C5" s="12">
        <f>SUM(C6:C7)</f>
        <v>19743890154.472248</v>
      </c>
      <c r="D5" s="13"/>
      <c r="E5" s="14"/>
    </row>
    <row r="6" spans="1:5" s="15" customFormat="1" ht="150" x14ac:dyDescent="0.25">
      <c r="A6" s="14" t="s">
        <v>81</v>
      </c>
      <c r="B6" s="19">
        <f>300*10^12</f>
        <v>300000000000000</v>
      </c>
      <c r="C6" s="19">
        <f>B6/$B$36</f>
        <v>19743890154.472248</v>
      </c>
      <c r="D6" s="13" t="s">
        <v>700</v>
      </c>
      <c r="E6" s="14" t="s">
        <v>701</v>
      </c>
    </row>
    <row r="7" spans="1:5" s="15" customFormat="1" ht="165" x14ac:dyDescent="0.25">
      <c r="A7" s="14" t="s">
        <v>84</v>
      </c>
      <c r="B7" s="128"/>
      <c r="C7" s="128"/>
      <c r="D7" s="13" t="s">
        <v>1095</v>
      </c>
      <c r="E7" s="14" t="s">
        <v>1074</v>
      </c>
    </row>
    <row r="8" spans="1:5" ht="30" x14ac:dyDescent="0.25">
      <c r="A8" s="11" t="s">
        <v>87</v>
      </c>
      <c r="B8" s="12">
        <f>SUM(B9:B11)</f>
        <v>0</v>
      </c>
      <c r="C8" s="12">
        <f>SUM(C9:C11)</f>
        <v>0</v>
      </c>
      <c r="D8" s="13"/>
      <c r="E8" s="14"/>
    </row>
    <row r="9" spans="1:5" ht="60" x14ac:dyDescent="0.25">
      <c r="A9" s="14" t="s">
        <v>88</v>
      </c>
      <c r="B9" s="16"/>
      <c r="C9" s="16"/>
      <c r="D9" s="13"/>
      <c r="E9" s="14"/>
    </row>
    <row r="10" spans="1:5" ht="60" x14ac:dyDescent="0.25">
      <c r="A10" s="14" t="s">
        <v>90</v>
      </c>
      <c r="B10" s="16"/>
      <c r="C10" s="16"/>
      <c r="D10" s="13" t="s">
        <v>702</v>
      </c>
      <c r="E10" s="14" t="s">
        <v>107</v>
      </c>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16"/>
      <c r="C13" s="16"/>
      <c r="D13" s="13"/>
      <c r="E13" s="14"/>
    </row>
    <row r="14" spans="1:5" x14ac:dyDescent="0.25">
      <c r="A14" s="14" t="s">
        <v>96</v>
      </c>
      <c r="B14" s="16"/>
      <c r="C14" s="16"/>
      <c r="D14" s="13"/>
      <c r="E14" s="14"/>
    </row>
    <row r="15" spans="1:5" ht="45" x14ac:dyDescent="0.25">
      <c r="A15" s="11" t="s">
        <v>97</v>
      </c>
      <c r="B15" s="12"/>
      <c r="C15" s="12"/>
      <c r="D15" s="13"/>
      <c r="E15" s="14"/>
    </row>
    <row r="16" spans="1:5" ht="150" x14ac:dyDescent="0.25">
      <c r="A16" s="11" t="s">
        <v>98</v>
      </c>
      <c r="B16" s="215">
        <f>567.6*10^12</f>
        <v>567600000000000</v>
      </c>
      <c r="C16" s="12">
        <f>B16/$B$36</f>
        <v>37355440172.26149</v>
      </c>
      <c r="D16" s="13" t="s">
        <v>703</v>
      </c>
      <c r="E16" s="14" t="s">
        <v>1059</v>
      </c>
    </row>
    <row r="17" spans="1:5" x14ac:dyDescent="0.25">
      <c r="A17" s="13" t="s">
        <v>99</v>
      </c>
      <c r="B17" s="16"/>
      <c r="C17" s="16"/>
      <c r="D17" s="13"/>
      <c r="E17" s="14"/>
    </row>
    <row r="18" spans="1:5" x14ac:dyDescent="0.25">
      <c r="A18" s="13" t="s">
        <v>101</v>
      </c>
      <c r="B18" s="16"/>
      <c r="C18" s="16"/>
      <c r="D18" s="13"/>
      <c r="E18" s="14"/>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16"/>
      <c r="C24" s="16"/>
      <c r="D24" s="13"/>
      <c r="E24" s="14"/>
    </row>
    <row r="25" spans="1:5" x14ac:dyDescent="0.25">
      <c r="A25" s="13" t="s">
        <v>109</v>
      </c>
      <c r="B25" s="16"/>
      <c r="C25" s="16"/>
      <c r="D25" s="13"/>
      <c r="E25" s="14"/>
    </row>
    <row r="26" spans="1:5" ht="15.45" customHeight="1" x14ac:dyDescent="0.25">
      <c r="A26" s="22" t="s">
        <v>111</v>
      </c>
      <c r="B26" s="12">
        <f>SUM(B27:B29)</f>
        <v>911720023722000</v>
      </c>
      <c r="C26" s="12">
        <f>SUM(C27:C29)</f>
        <v>60003000000</v>
      </c>
      <c r="D26" s="13"/>
      <c r="E26" s="14"/>
    </row>
    <row r="27" spans="1:5" ht="165" x14ac:dyDescent="0.25">
      <c r="A27" s="13" t="s">
        <v>112</v>
      </c>
      <c r="B27" s="16">
        <f>C27*$B$36</f>
        <v>911674440000000</v>
      </c>
      <c r="C27" s="16">
        <f>60*10^9</f>
        <v>60000000000</v>
      </c>
      <c r="D27" s="13" t="s">
        <v>704</v>
      </c>
      <c r="E27" s="14" t="s">
        <v>705</v>
      </c>
    </row>
    <row r="28" spans="1:5" x14ac:dyDescent="0.25">
      <c r="A28" s="13" t="s">
        <v>115</v>
      </c>
      <c r="B28" s="16"/>
      <c r="C28" s="16"/>
      <c r="D28" s="13"/>
      <c r="E28" s="14"/>
    </row>
    <row r="29" spans="1:5" x14ac:dyDescent="0.25">
      <c r="A29" s="13" t="s">
        <v>116</v>
      </c>
      <c r="B29" s="16">
        <f>SUM(B30:B31)</f>
        <v>45583722000</v>
      </c>
      <c r="C29" s="16">
        <f>SUM(C30:C31)</f>
        <v>3000000</v>
      </c>
      <c r="D29" s="13"/>
      <c r="E29" s="14"/>
    </row>
    <row r="30" spans="1:5" x14ac:dyDescent="0.25">
      <c r="A30" s="13" t="s">
        <v>117</v>
      </c>
      <c r="B30" s="16">
        <f>C30*$B$36</f>
        <v>45583722000</v>
      </c>
      <c r="C30" s="16">
        <f>3*10^6</f>
        <v>3000000</v>
      </c>
      <c r="D30" s="13" t="s">
        <v>706</v>
      </c>
      <c r="E30" s="118" t="s">
        <v>209</v>
      </c>
    </row>
    <row r="31" spans="1:5" x14ac:dyDescent="0.25">
      <c r="A31" s="13" t="s">
        <v>118</v>
      </c>
      <c r="B31" s="16"/>
      <c r="C31" s="16"/>
      <c r="D31" s="13"/>
      <c r="E31" s="14"/>
    </row>
    <row r="32" spans="1:5" x14ac:dyDescent="0.25">
      <c r="A32" s="11" t="s">
        <v>119</v>
      </c>
      <c r="B32" s="12"/>
      <c r="C32" s="12"/>
      <c r="D32" s="13"/>
      <c r="E32" s="14"/>
    </row>
    <row r="33" spans="1:5" x14ac:dyDescent="0.25">
      <c r="A33" s="31"/>
      <c r="B33" s="219"/>
      <c r="C33" s="219"/>
      <c r="D33" s="33"/>
      <c r="E33" s="34"/>
    </row>
    <row r="34" spans="1:5" x14ac:dyDescent="0.25">
      <c r="A34" s="35" t="s">
        <v>120</v>
      </c>
      <c r="B34" s="39">
        <f>SUM(B5,B8,B12,B15,B16)</f>
        <v>867600000000000</v>
      </c>
      <c r="C34" s="39">
        <f>SUM(C5,C8,C12,C15,C16)</f>
        <v>57099330326.733734</v>
      </c>
    </row>
    <row r="35" spans="1:5" x14ac:dyDescent="0.25">
      <c r="A35" s="31"/>
      <c r="B35" s="39"/>
      <c r="C35" s="40"/>
    </row>
    <row r="36" spans="1:5" x14ac:dyDescent="0.25">
      <c r="A36" s="31" t="s">
        <v>121</v>
      </c>
      <c r="B36" s="88">
        <v>15194.574000000001</v>
      </c>
      <c r="C36" s="42"/>
    </row>
    <row r="37" spans="1:5" x14ac:dyDescent="0.25">
      <c r="A37" s="43" t="s">
        <v>122</v>
      </c>
      <c r="B37" s="135">
        <v>1.607575017E+16</v>
      </c>
      <c r="C37" s="135">
        <v>1111710000000</v>
      </c>
    </row>
    <row r="38" spans="1:5" x14ac:dyDescent="0.25">
      <c r="A38" s="43" t="s">
        <v>123</v>
      </c>
      <c r="B38" s="224">
        <v>267663435</v>
      </c>
      <c r="C38" s="224"/>
    </row>
    <row r="39" spans="1:5" x14ac:dyDescent="0.25">
      <c r="A39" s="43"/>
      <c r="B39" s="44"/>
      <c r="C39" s="44"/>
    </row>
    <row r="40" spans="1:5" x14ac:dyDescent="0.25">
      <c r="A40" s="5"/>
      <c r="B40" s="46" t="s">
        <v>707</v>
      </c>
      <c r="C40" s="47" t="s">
        <v>125</v>
      </c>
    </row>
    <row r="41" spans="1:5" x14ac:dyDescent="0.25">
      <c r="A41" s="43" t="s">
        <v>126</v>
      </c>
      <c r="B41" s="48">
        <f>$B37/$B$38</f>
        <v>60059567.605862938</v>
      </c>
      <c r="C41" s="48">
        <f>$C37/$B$38</f>
        <v>4153.3876302528961</v>
      </c>
    </row>
    <row r="42" spans="1:5" x14ac:dyDescent="0.25">
      <c r="A42" s="43" t="s">
        <v>127</v>
      </c>
      <c r="B42" s="49">
        <f>($B34/$B37)*100</f>
        <v>5.3969487633559066</v>
      </c>
      <c r="C42" s="49"/>
    </row>
    <row r="43" spans="1:5" x14ac:dyDescent="0.25">
      <c r="A43" s="43" t="s">
        <v>128</v>
      </c>
      <c r="B43" s="50">
        <f>$B34/$B$38</f>
        <v>3241384.0911815241</v>
      </c>
      <c r="C43" s="50">
        <f>$C34/$B$38</f>
        <v>213.32510481580621</v>
      </c>
    </row>
    <row r="44" spans="1:5" x14ac:dyDescent="0.25">
      <c r="A44" s="43"/>
      <c r="B44" s="50"/>
      <c r="C44" s="50"/>
    </row>
    <row r="45" spans="1:5" x14ac:dyDescent="0.25">
      <c r="A45" s="335" t="s">
        <v>1052</v>
      </c>
      <c r="B45" s="50"/>
      <c r="C45" s="50"/>
    </row>
    <row r="46" spans="1:5" x14ac:dyDescent="0.25">
      <c r="A46" s="43"/>
      <c r="B46" s="50"/>
      <c r="C46" s="50"/>
    </row>
    <row r="47" spans="1:5" x14ac:dyDescent="0.25">
      <c r="A47" s="43"/>
      <c r="B47" s="51"/>
    </row>
    <row r="48" spans="1:5" x14ac:dyDescent="0.25">
      <c r="A48" s="43" t="s">
        <v>129</v>
      </c>
    </row>
    <row r="49" spans="1:5" x14ac:dyDescent="0.25">
      <c r="A49" s="37" t="s">
        <v>708</v>
      </c>
    </row>
    <row r="50" spans="1:5" x14ac:dyDescent="0.25">
      <c r="A50" s="188" t="s">
        <v>709</v>
      </c>
    </row>
    <row r="51" spans="1:5" ht="15.45" customHeight="1" x14ac:dyDescent="0.25">
      <c r="A51" s="18" t="s">
        <v>710</v>
      </c>
      <c r="B51" s="138"/>
      <c r="C51" s="138"/>
      <c r="D51" s="139"/>
    </row>
    <row r="52" spans="1:5" s="37" customFormat="1" ht="15.45" customHeight="1" x14ac:dyDescent="0.25">
      <c r="B52" s="139"/>
      <c r="C52" s="139"/>
      <c r="D52" s="139"/>
      <c r="E52" s="70"/>
    </row>
    <row r="54" spans="1:5" x14ac:dyDescent="0.25">
      <c r="A54" s="43" t="s">
        <v>131</v>
      </c>
    </row>
    <row r="55" spans="1:5" s="38" customFormat="1" x14ac:dyDescent="0.25">
      <c r="A55" s="38" t="s">
        <v>711</v>
      </c>
      <c r="D55" s="37"/>
    </row>
    <row r="56" spans="1:5" s="38" customFormat="1" x14ac:dyDescent="0.25">
      <c r="A56" s="5" t="s">
        <v>712</v>
      </c>
      <c r="D56" s="37"/>
    </row>
    <row r="57" spans="1:5" s="38" customFormat="1" x14ac:dyDescent="0.25">
      <c r="A57" s="5"/>
      <c r="D57" s="37"/>
    </row>
    <row r="58" spans="1:5" s="38" customFormat="1" ht="14.4" customHeight="1" x14ac:dyDescent="0.25">
      <c r="A58" s="5"/>
      <c r="D58" s="37"/>
    </row>
    <row r="59" spans="1:5" s="38" customFormat="1" x14ac:dyDescent="0.3">
      <c r="A59" s="364" t="s">
        <v>1061</v>
      </c>
      <c r="B59" s="364"/>
      <c r="C59" s="364"/>
      <c r="D59" s="364"/>
      <c r="E59" s="364"/>
    </row>
    <row r="60" spans="1:5" x14ac:dyDescent="0.25">
      <c r="A60" s="364"/>
      <c r="B60" s="364"/>
      <c r="C60" s="364"/>
      <c r="D60" s="364"/>
      <c r="E60" s="364"/>
    </row>
  </sheetData>
  <sheetProtection algorithmName="SHA-512" hashValue="lUZDMUP4/guAgN9od3RMMszrFM54J1tqzztGexneljrMN08l5txS18X9wrvZSGodpnfW9W82lzz1Z5ZGOzfcpQ==" saltValue="fb4+vB5FIyL40d2RIdqrjQ==" spinCount="100000" sheet="1" formatCells="0" formatColumns="0" formatRows="0" insertColumns="0" insertRows="0" insertHyperlinks="0" deleteColumns="0" deleteRows="0" sort="0" autoFilter="0" pivotTables="0"/>
  <mergeCells count="1">
    <mergeCell ref="A59:E60"/>
  </mergeCells>
  <hyperlinks>
    <hyperlink ref="A2" location="Index!B24" display="[Back to Index]" xr:uid="{93589BBF-AE58-48E5-92E6-EAD6C2CE370F}"/>
  </hyperlinks>
  <pageMargins left="0.7" right="0.7" top="0.75" bottom="0.75" header="0.3" footer="0.3"/>
  <pageSetup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55DA-4A70-4FC1-81E3-2C64E125D05E}">
  <sheetPr codeName="Sheet40">
    <tabColor theme="5" tint="0.59999389629810485"/>
  </sheetPr>
  <dimension ref="A1:E62"/>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C5" sqref="C5:D9"/>
    </sheetView>
  </sheetViews>
  <sheetFormatPr defaultColWidth="8.7773437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77734375" style="18"/>
  </cols>
  <sheetData>
    <row r="1" spans="1:5" s="5" customFormat="1" ht="17.399999999999999" x14ac:dyDescent="0.25">
      <c r="A1" s="112" t="s">
        <v>368</v>
      </c>
      <c r="B1" s="2" t="s">
        <v>73</v>
      </c>
      <c r="C1" s="3">
        <v>6.0171749999999999</v>
      </c>
      <c r="D1" s="4" t="s">
        <v>1045</v>
      </c>
    </row>
    <row r="2" spans="1:5" s="5" customFormat="1" x14ac:dyDescent="0.25">
      <c r="A2" s="324" t="s">
        <v>74</v>
      </c>
      <c r="C2" s="3">
        <v>0.33287139999999998</v>
      </c>
      <c r="D2" s="4" t="s">
        <v>1046</v>
      </c>
    </row>
    <row r="3" spans="1:5" s="5" customFormat="1" x14ac:dyDescent="0.3">
      <c r="B3" s="38"/>
      <c r="D3" s="7"/>
    </row>
    <row r="4" spans="1:5" s="10" customFormat="1" x14ac:dyDescent="0.3">
      <c r="A4" s="8" t="s">
        <v>75</v>
      </c>
      <c r="B4" s="9" t="s">
        <v>369</v>
      </c>
      <c r="C4" s="9" t="s">
        <v>77</v>
      </c>
      <c r="D4" s="115" t="s">
        <v>78</v>
      </c>
      <c r="E4" s="116" t="s">
        <v>79</v>
      </c>
    </row>
    <row r="5" spans="1:5" s="15" customFormat="1" ht="60" x14ac:dyDescent="0.25">
      <c r="A5" s="11" t="s">
        <v>80</v>
      </c>
      <c r="B5" s="12">
        <f>SUM(B6:B7)</f>
        <v>1800000000000</v>
      </c>
      <c r="C5" s="12">
        <f>SUM(C6:C7)</f>
        <v>256480670684.00015</v>
      </c>
      <c r="D5" s="165"/>
      <c r="E5" s="14"/>
    </row>
    <row r="6" spans="1:5" s="15" customFormat="1" ht="60" x14ac:dyDescent="0.25">
      <c r="A6" s="14" t="s">
        <v>81</v>
      </c>
      <c r="B6" s="16">
        <f>1.8*10^12</f>
        <v>1800000000000</v>
      </c>
      <c r="C6" s="16">
        <f>B6/$B$36</f>
        <v>256480670684.00015</v>
      </c>
      <c r="D6" s="13" t="s">
        <v>1102</v>
      </c>
      <c r="E6" s="14" t="s">
        <v>277</v>
      </c>
    </row>
    <row r="7" spans="1:5" s="15" customFormat="1" ht="75" x14ac:dyDescent="0.25">
      <c r="A7" s="14" t="s">
        <v>84</v>
      </c>
      <c r="B7" s="17"/>
      <c r="C7" s="17"/>
      <c r="D7" s="13" t="s">
        <v>1103</v>
      </c>
      <c r="E7" s="14" t="s">
        <v>277</v>
      </c>
    </row>
    <row r="8" spans="1:5" ht="30" x14ac:dyDescent="0.25">
      <c r="A8" s="11" t="s">
        <v>87</v>
      </c>
      <c r="B8" s="12">
        <f>SUM(B9:B11)</f>
        <v>450000000000</v>
      </c>
      <c r="C8" s="12">
        <f>SUM(C9:C11)</f>
        <v>64120167671.000046</v>
      </c>
      <c r="D8" s="13"/>
      <c r="E8" s="14"/>
    </row>
    <row r="9" spans="1:5" ht="73.2" customHeight="1" x14ac:dyDescent="0.25">
      <c r="A9" s="14" t="s">
        <v>88</v>
      </c>
      <c r="B9" s="16">
        <f>350*10^9</f>
        <v>350000000000</v>
      </c>
      <c r="C9" s="16">
        <f>B9/$B$36</f>
        <v>49871241521.888924</v>
      </c>
      <c r="D9" s="13" t="s">
        <v>370</v>
      </c>
      <c r="E9" s="14" t="s">
        <v>277</v>
      </c>
    </row>
    <row r="10" spans="1:5" ht="120" x14ac:dyDescent="0.25">
      <c r="A10" s="14" t="s">
        <v>90</v>
      </c>
      <c r="B10" s="16">
        <f>100*10^9</f>
        <v>100000000000</v>
      </c>
      <c r="C10" s="16">
        <f>B10/$B$36</f>
        <v>14248926149.11112</v>
      </c>
      <c r="D10" s="24" t="s">
        <v>1037</v>
      </c>
      <c r="E10" s="14" t="s">
        <v>1038</v>
      </c>
    </row>
    <row r="11" spans="1:5" ht="67.8" customHeight="1" x14ac:dyDescent="0.25">
      <c r="A11" s="14" t="s">
        <v>92</v>
      </c>
      <c r="B11" s="16"/>
      <c r="C11" s="16"/>
      <c r="D11" s="13" t="s">
        <v>371</v>
      </c>
      <c r="E11" s="14" t="s">
        <v>277</v>
      </c>
    </row>
    <row r="12" spans="1:5" ht="45" x14ac:dyDescent="0.25">
      <c r="A12" s="11" t="s">
        <v>93</v>
      </c>
      <c r="B12" s="12">
        <f>SUM(B13:B14)</f>
        <v>0</v>
      </c>
      <c r="C12" s="12">
        <f>SUM(C13:C14)</f>
        <v>0</v>
      </c>
      <c r="D12" s="13"/>
      <c r="E12" s="14"/>
    </row>
    <row r="13" spans="1:5" ht="64.8" customHeight="1" x14ac:dyDescent="0.25">
      <c r="A13" s="14" t="s">
        <v>94</v>
      </c>
      <c r="B13" s="23"/>
      <c r="C13" s="23"/>
      <c r="D13" s="13" t="s">
        <v>372</v>
      </c>
      <c r="E13" s="14" t="s">
        <v>277</v>
      </c>
    </row>
    <row r="14" spans="1:5" ht="85.8" customHeight="1" x14ac:dyDescent="0.25">
      <c r="A14" s="14" t="s">
        <v>96</v>
      </c>
      <c r="B14" s="16"/>
      <c r="C14" s="16"/>
      <c r="D14" s="13" t="s">
        <v>373</v>
      </c>
      <c r="E14" s="14" t="s">
        <v>277</v>
      </c>
    </row>
    <row r="15" spans="1:5" ht="45" x14ac:dyDescent="0.25">
      <c r="A15" s="11" t="s">
        <v>97</v>
      </c>
      <c r="B15" s="12"/>
      <c r="C15" s="12"/>
      <c r="D15" s="13"/>
      <c r="E15" s="14"/>
    </row>
    <row r="16" spans="1:5" ht="132" customHeight="1" x14ac:dyDescent="0.25">
      <c r="A16" s="11" t="s">
        <v>98</v>
      </c>
      <c r="B16" s="12">
        <f>(2.6+1.4)*10^12</f>
        <v>4000000000000</v>
      </c>
      <c r="C16" s="12">
        <f>B16/$B$36</f>
        <v>569957045964.44482</v>
      </c>
      <c r="D16" s="13" t="s">
        <v>374</v>
      </c>
      <c r="E16" s="14" t="s">
        <v>277</v>
      </c>
    </row>
    <row r="17" spans="1:5" x14ac:dyDescent="0.25">
      <c r="A17" s="13" t="s">
        <v>99</v>
      </c>
      <c r="B17" s="85"/>
      <c r="C17" s="23"/>
      <c r="D17" s="83"/>
      <c r="E17" s="14"/>
    </row>
    <row r="18" spans="1:5" x14ac:dyDescent="0.25">
      <c r="A18" s="13" t="s">
        <v>101</v>
      </c>
      <c r="B18" s="16"/>
      <c r="C18" s="16"/>
      <c r="D18" s="13"/>
      <c r="E18" s="14"/>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B22+B24</f>
        <v>0</v>
      </c>
      <c r="C21" s="12">
        <f>C22+C24</f>
        <v>0</v>
      </c>
      <c r="D21" s="13"/>
      <c r="E21" s="14"/>
    </row>
    <row r="22" spans="1:5" ht="52.65" customHeight="1" x14ac:dyDescent="0.25">
      <c r="A22" s="22" t="s">
        <v>108</v>
      </c>
      <c r="B22" s="16"/>
      <c r="C22" s="16"/>
      <c r="D22" s="13"/>
      <c r="E22" s="14"/>
    </row>
    <row r="23" spans="1:5" x14ac:dyDescent="0.25">
      <c r="A23" s="13" t="s">
        <v>109</v>
      </c>
      <c r="B23" s="16"/>
      <c r="C23" s="16"/>
      <c r="D23" s="13"/>
      <c r="E23" s="14"/>
    </row>
    <row r="24" spans="1:5" x14ac:dyDescent="0.25">
      <c r="A24" s="22" t="s">
        <v>110</v>
      </c>
      <c r="B24" s="23"/>
      <c r="C24" s="23"/>
      <c r="D24" s="13"/>
      <c r="E24" s="14"/>
    </row>
    <row r="25" spans="1:5" x14ac:dyDescent="0.25">
      <c r="A25" s="13" t="s">
        <v>109</v>
      </c>
      <c r="B25" s="16"/>
      <c r="C25" s="23"/>
      <c r="E25" s="14"/>
    </row>
    <row r="26" spans="1:5" x14ac:dyDescent="0.25">
      <c r="A26" s="22" t="s">
        <v>111</v>
      </c>
      <c r="B26" s="12">
        <f>SUM(B27:B29)</f>
        <v>303180741.81818193</v>
      </c>
      <c r="C26" s="12">
        <f>SUM(C27:C29)</f>
        <v>43200000</v>
      </c>
      <c r="D26" s="13"/>
      <c r="E26" s="14"/>
    </row>
    <row r="27" spans="1:5" x14ac:dyDescent="0.25">
      <c r="A27" s="13" t="s">
        <v>112</v>
      </c>
      <c r="B27" s="16"/>
      <c r="C27" s="16"/>
      <c r="D27" s="13"/>
      <c r="E27" s="14"/>
    </row>
    <row r="28" spans="1:5" ht="63" customHeight="1" x14ac:dyDescent="0.25">
      <c r="A28" s="13" t="s">
        <v>115</v>
      </c>
      <c r="B28" s="16"/>
      <c r="C28" s="16"/>
      <c r="D28" s="13" t="s">
        <v>375</v>
      </c>
      <c r="E28" s="14" t="s">
        <v>277</v>
      </c>
    </row>
    <row r="29" spans="1:5" x14ac:dyDescent="0.25">
      <c r="A29" s="13" t="s">
        <v>116</v>
      </c>
      <c r="B29" s="16">
        <f>SUM(B30:B31)</f>
        <v>303180741.81818193</v>
      </c>
      <c r="C29" s="16">
        <f>SUM(C30:C31)</f>
        <v>43200000</v>
      </c>
      <c r="D29" s="13"/>
      <c r="E29" s="14"/>
    </row>
    <row r="30" spans="1:5" ht="131.85" customHeight="1" x14ac:dyDescent="0.25">
      <c r="A30" s="13" t="s">
        <v>117</v>
      </c>
      <c r="B30" s="19">
        <f>C30*B36</f>
        <v>303180741.81818193</v>
      </c>
      <c r="C30" s="19">
        <f>(18.6+20+1+3.6)*10^6</f>
        <v>43200000</v>
      </c>
      <c r="D30" s="83" t="s">
        <v>376</v>
      </c>
      <c r="E30" s="24" t="s">
        <v>209</v>
      </c>
    </row>
    <row r="31" spans="1:5" x14ac:dyDescent="0.25">
      <c r="A31" s="13" t="s">
        <v>118</v>
      </c>
      <c r="B31" s="16"/>
      <c r="C31" s="16"/>
      <c r="D31" s="13"/>
      <c r="E31" s="14"/>
    </row>
    <row r="32" spans="1:5" ht="68.400000000000006" customHeight="1" x14ac:dyDescent="0.25">
      <c r="A32" s="11" t="s">
        <v>119</v>
      </c>
      <c r="B32" s="59">
        <f>(3*10^12)+170*10^9</f>
        <v>3170000000000</v>
      </c>
      <c r="C32" s="12">
        <f>B32/$B$36</f>
        <v>451690958926.82251</v>
      </c>
      <c r="D32" s="13" t="s">
        <v>377</v>
      </c>
      <c r="E32" s="14" t="s">
        <v>277</v>
      </c>
    </row>
    <row r="33" spans="1:5" x14ac:dyDescent="0.25">
      <c r="A33" s="31"/>
      <c r="B33" s="120"/>
      <c r="C33" s="120"/>
      <c r="D33" s="33"/>
      <c r="E33" s="34"/>
    </row>
    <row r="34" spans="1:5" x14ac:dyDescent="0.25">
      <c r="A34" s="35" t="s">
        <v>120</v>
      </c>
      <c r="B34" s="121">
        <f>(SUM(B5,B8,B12,B15,B16,B32))</f>
        <v>9420000000000</v>
      </c>
      <c r="C34" s="121">
        <f>(SUM(C5,C8,C12,C15,C16,C32))</f>
        <v>1342248843246.2676</v>
      </c>
      <c r="D34" s="70" t="s">
        <v>154</v>
      </c>
    </row>
    <row r="35" spans="1:5" x14ac:dyDescent="0.25">
      <c r="A35" s="31"/>
      <c r="B35" s="39"/>
      <c r="C35" s="40"/>
    </row>
    <row r="36" spans="1:5" x14ac:dyDescent="0.25">
      <c r="A36" s="31" t="s">
        <v>121</v>
      </c>
      <c r="B36" s="88">
        <v>7.0180727272727301</v>
      </c>
      <c r="C36" s="88"/>
      <c r="D36" s="38"/>
      <c r="E36" s="166"/>
    </row>
    <row r="37" spans="1:5" x14ac:dyDescent="0.25">
      <c r="A37" s="43" t="s">
        <v>122</v>
      </c>
      <c r="B37" s="45">
        <v>95497020000000</v>
      </c>
      <c r="C37" s="135">
        <v>14140160000000</v>
      </c>
      <c r="D37" s="167"/>
    </row>
    <row r="38" spans="1:5" x14ac:dyDescent="0.25">
      <c r="A38" s="43" t="s">
        <v>123</v>
      </c>
      <c r="B38" s="45">
        <v>1392730000</v>
      </c>
      <c r="C38" s="45"/>
      <c r="D38" s="38"/>
    </row>
    <row r="39" spans="1:5" x14ac:dyDescent="0.25">
      <c r="A39" s="43"/>
      <c r="B39" s="44"/>
      <c r="C39" s="44"/>
      <c r="D39" s="38"/>
    </row>
    <row r="40" spans="1:5" x14ac:dyDescent="0.25">
      <c r="A40" s="5"/>
      <c r="B40" s="46" t="s">
        <v>378</v>
      </c>
      <c r="C40" s="47" t="s">
        <v>125</v>
      </c>
      <c r="D40" s="38"/>
    </row>
    <row r="41" spans="1:5" x14ac:dyDescent="0.25">
      <c r="A41" s="43" t="s">
        <v>126</v>
      </c>
      <c r="B41" s="48">
        <f>$B37/$B$38</f>
        <v>68568.222124891399</v>
      </c>
      <c r="C41" s="48">
        <f>$C37/$B$38</f>
        <v>10152.836515333194</v>
      </c>
      <c r="D41" s="38"/>
    </row>
    <row r="42" spans="1:5" x14ac:dyDescent="0.25">
      <c r="A42" s="43" t="s">
        <v>127</v>
      </c>
      <c r="B42" s="49">
        <f>($B34/$B37)*100</f>
        <v>9.8641821493487427</v>
      </c>
      <c r="C42" s="49"/>
      <c r="D42" s="38"/>
    </row>
    <row r="43" spans="1:5" x14ac:dyDescent="0.25">
      <c r="A43" s="43" t="s">
        <v>128</v>
      </c>
      <c r="B43" s="50">
        <f>$B34/$B$38</f>
        <v>6763.6943269693338</v>
      </c>
      <c r="C43" s="50">
        <f>$C34/$B$38</f>
        <v>963.75380960147879</v>
      </c>
      <c r="D43" s="38"/>
    </row>
    <row r="44" spans="1:5" x14ac:dyDescent="0.25">
      <c r="A44" s="43"/>
      <c r="B44" s="50"/>
      <c r="C44" s="50"/>
    </row>
    <row r="45" spans="1:5" x14ac:dyDescent="0.25">
      <c r="A45" s="336" t="s">
        <v>1057</v>
      </c>
      <c r="B45" s="50"/>
      <c r="C45" s="50"/>
    </row>
    <row r="46" spans="1:5" x14ac:dyDescent="0.25">
      <c r="A46" s="336"/>
      <c r="B46" s="50"/>
      <c r="C46" s="50"/>
    </row>
    <row r="47" spans="1:5" x14ac:dyDescent="0.25">
      <c r="A47" s="43"/>
      <c r="B47" s="51"/>
    </row>
    <row r="48" spans="1:5" x14ac:dyDescent="0.25">
      <c r="A48" s="43" t="s">
        <v>129</v>
      </c>
    </row>
    <row r="49" spans="1:5" ht="15.6" customHeight="1" x14ac:dyDescent="0.25">
      <c r="A49" s="133" t="s">
        <v>306</v>
      </c>
      <c r="B49" s="53"/>
      <c r="C49" s="53"/>
      <c r="D49" s="53"/>
      <c r="E49" s="53"/>
    </row>
    <row r="50" spans="1:5" ht="15.6" customHeight="1" x14ac:dyDescent="0.25">
      <c r="A50" s="37"/>
      <c r="B50" s="53"/>
      <c r="C50" s="53"/>
      <c r="D50" s="53"/>
      <c r="E50" s="53"/>
    </row>
    <row r="51" spans="1:5" ht="15.6" customHeight="1" x14ac:dyDescent="0.25">
      <c r="A51" s="53"/>
      <c r="B51" s="53"/>
      <c r="C51" s="53"/>
      <c r="D51" s="53"/>
      <c r="E51" s="53"/>
    </row>
    <row r="52" spans="1:5" x14ac:dyDescent="0.25">
      <c r="A52" s="43" t="s">
        <v>131</v>
      </c>
    </row>
    <row r="53" spans="1:5" s="38" customFormat="1" ht="31.8" customHeight="1" x14ac:dyDescent="0.3">
      <c r="A53" s="374" t="s">
        <v>379</v>
      </c>
      <c r="B53" s="374"/>
      <c r="C53" s="374"/>
      <c r="D53" s="374"/>
      <c r="E53" s="70"/>
    </row>
    <row r="54" spans="1:5" s="38" customFormat="1" x14ac:dyDescent="0.25">
      <c r="A54" s="52" t="s">
        <v>380</v>
      </c>
      <c r="B54" s="37"/>
      <c r="C54" s="147"/>
      <c r="D54" s="70"/>
      <c r="E54" s="70"/>
    </row>
    <row r="55" spans="1:5" s="38" customFormat="1" x14ac:dyDescent="0.25">
      <c r="A55" s="52" t="s">
        <v>381</v>
      </c>
      <c r="B55" s="37"/>
      <c r="C55" s="147"/>
      <c r="D55" s="70"/>
      <c r="E55" s="70"/>
    </row>
    <row r="56" spans="1:5" s="38" customFormat="1" x14ac:dyDescent="0.25">
      <c r="A56" s="52" t="s">
        <v>382</v>
      </c>
      <c r="B56" s="34"/>
      <c r="C56" s="34"/>
      <c r="D56" s="34"/>
      <c r="E56" s="34"/>
    </row>
    <row r="57" spans="1:5" s="38" customFormat="1" x14ac:dyDescent="0.25">
      <c r="A57" s="52" t="s">
        <v>383</v>
      </c>
      <c r="D57" s="70"/>
    </row>
    <row r="58" spans="1:5" s="38" customFormat="1" x14ac:dyDescent="0.25">
      <c r="A58" s="37" t="s">
        <v>309</v>
      </c>
      <c r="D58" s="70"/>
    </row>
    <row r="59" spans="1:5" s="38" customFormat="1" x14ac:dyDescent="0.3">
      <c r="A59" s="5"/>
      <c r="D59" s="70"/>
    </row>
    <row r="60" spans="1:5" s="38" customFormat="1" x14ac:dyDescent="0.3">
      <c r="A60" s="5"/>
      <c r="D60" s="70"/>
    </row>
    <row r="61" spans="1:5" s="38" customFormat="1" x14ac:dyDescent="0.3">
      <c r="A61" s="364" t="s">
        <v>1060</v>
      </c>
      <c r="B61" s="364"/>
      <c r="C61" s="364"/>
      <c r="D61" s="364"/>
      <c r="E61" s="364"/>
    </row>
    <row r="62" spans="1:5" x14ac:dyDescent="0.25">
      <c r="A62" s="364"/>
      <c r="B62" s="364"/>
      <c r="C62" s="364"/>
      <c r="D62" s="364"/>
      <c r="E62" s="364"/>
    </row>
  </sheetData>
  <sheetProtection algorithmName="SHA-512" hashValue="uAre8s32E0sl1gRAuB8pbWC9X8RPYM9hsqUlrlJgh9IAg61KmBbA3Vt+IP/Cl9D7yxCHY631gJP8UHGojFhqqA==" saltValue="URFTyi8JyPIDYEwkoS5nvQ==" spinCount="100000" sheet="1" formatCells="0" formatColumns="0" formatRows="0" insertColumns="0" insertRows="0" insertHyperlinks="0" deleteColumns="0" deleteRows="0" sort="0" autoFilter="0" pivotTables="0"/>
  <mergeCells count="2">
    <mergeCell ref="A53:D53"/>
    <mergeCell ref="A61:E62"/>
  </mergeCells>
  <hyperlinks>
    <hyperlink ref="A2" location="Index!E36" display="[Back to Index]" xr:uid="{1DDBC2ED-7540-4328-90CF-F0ED46AC1D84}"/>
  </hyperlink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E8CF2-2CC1-4C98-B922-E96019A5DECB}">
  <sheetPr codeName="Sheet41">
    <tabColor theme="5" tint="0.59999389629810485"/>
  </sheetPr>
  <dimension ref="A1:E69"/>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C1" sqref="C1"/>
    </sheetView>
  </sheetViews>
  <sheetFormatPr defaultColWidth="8.6640625" defaultRowHeight="15" x14ac:dyDescent="0.25"/>
  <cols>
    <col min="1" max="1" width="48.6640625" style="38" customWidth="1"/>
    <col min="2" max="2" width="27.5546875" style="38" customWidth="1"/>
    <col min="3" max="3" width="27.6640625" style="38" customWidth="1"/>
    <col min="4" max="4" width="95.6640625" style="37" customWidth="1"/>
    <col min="5" max="5" width="40.6640625" style="38" customWidth="1"/>
    <col min="6" max="16384" width="8.6640625" style="18"/>
  </cols>
  <sheetData>
    <row r="1" spans="1:5" s="5" customFormat="1" ht="17.399999999999999" x14ac:dyDescent="0.25">
      <c r="A1" s="112" t="s">
        <v>47</v>
      </c>
      <c r="B1" s="2" t="s">
        <v>73</v>
      </c>
      <c r="C1" s="84">
        <v>1.6872270973758956</v>
      </c>
      <c r="D1" s="4" t="s">
        <v>1045</v>
      </c>
    </row>
    <row r="2" spans="1:5" s="5" customFormat="1" x14ac:dyDescent="0.25">
      <c r="A2" s="324" t="s">
        <v>74</v>
      </c>
      <c r="C2" s="84">
        <v>2.5435584382551186E-2</v>
      </c>
      <c r="D2" s="4" t="s">
        <v>1046</v>
      </c>
    </row>
    <row r="3" spans="1:5" s="5" customFormat="1" x14ac:dyDescent="0.3">
      <c r="B3" s="224"/>
      <c r="D3" s="7"/>
    </row>
    <row r="4" spans="1:5" s="10" customFormat="1" x14ac:dyDescent="0.3">
      <c r="A4" s="8" t="s">
        <v>75</v>
      </c>
      <c r="B4" s="9" t="s">
        <v>934</v>
      </c>
      <c r="C4" s="9" t="s">
        <v>77</v>
      </c>
      <c r="D4" s="9" t="s">
        <v>78</v>
      </c>
      <c r="E4" s="8" t="s">
        <v>79</v>
      </c>
    </row>
    <row r="5" spans="1:5" s="15" customFormat="1" ht="60" x14ac:dyDescent="0.25">
      <c r="A5" s="11" t="s">
        <v>80</v>
      </c>
      <c r="B5" s="12">
        <f>SUM(B6:B7)</f>
        <v>200000000000</v>
      </c>
      <c r="C5" s="12">
        <f>SUM(C6:C7)</f>
        <v>6637792270.2909012</v>
      </c>
      <c r="D5" s="13"/>
      <c r="E5" s="14"/>
    </row>
    <row r="6" spans="1:5" s="15" customFormat="1" ht="165.6" customHeight="1" x14ac:dyDescent="0.25">
      <c r="A6" s="14" t="s">
        <v>81</v>
      </c>
      <c r="B6" s="16">
        <f>200*10^9</f>
        <v>200000000000</v>
      </c>
      <c r="C6" s="189">
        <f>B6/B36</f>
        <v>6637792270.2909012</v>
      </c>
      <c r="D6" s="33" t="s">
        <v>1088</v>
      </c>
      <c r="E6" s="24" t="s">
        <v>935</v>
      </c>
    </row>
    <row r="7" spans="1:5" s="15" customFormat="1" ht="45" x14ac:dyDescent="0.25">
      <c r="A7" s="14" t="s">
        <v>84</v>
      </c>
      <c r="B7" s="17"/>
      <c r="C7" s="17"/>
      <c r="D7" s="13"/>
      <c r="E7" s="83"/>
    </row>
    <row r="8" spans="1:5" ht="30" x14ac:dyDescent="0.25">
      <c r="A8" s="11" t="s">
        <v>87</v>
      </c>
      <c r="B8" s="12">
        <f>SUM(B9:B11)</f>
        <v>0</v>
      </c>
      <c r="C8" s="12">
        <f>SUM(C9:C11)</f>
        <v>0</v>
      </c>
      <c r="D8" s="13"/>
      <c r="E8" s="14"/>
    </row>
    <row r="9" spans="1:5" ht="60" x14ac:dyDescent="0.25">
      <c r="A9" s="14" t="s">
        <v>88</v>
      </c>
      <c r="B9" s="16"/>
      <c r="C9" s="16"/>
      <c r="D9" s="293"/>
      <c r="E9" s="14"/>
    </row>
    <row r="10" spans="1:5" ht="45" x14ac:dyDescent="0.25">
      <c r="A10" s="14" t="s">
        <v>90</v>
      </c>
      <c r="B10" s="16"/>
      <c r="C10" s="16"/>
      <c r="D10" s="24" t="s">
        <v>936</v>
      </c>
      <c r="E10" s="24" t="s">
        <v>935</v>
      </c>
    </row>
    <row r="11" spans="1:5" x14ac:dyDescent="0.25">
      <c r="A11" s="14" t="s">
        <v>92</v>
      </c>
      <c r="B11" s="16"/>
      <c r="C11" s="16"/>
      <c r="D11" s="13"/>
      <c r="E11" s="14"/>
    </row>
    <row r="12" spans="1:5" ht="45" x14ac:dyDescent="0.25">
      <c r="A12" s="11" t="s">
        <v>93</v>
      </c>
      <c r="B12" s="12">
        <f>SUM(B13:B14)</f>
        <v>0</v>
      </c>
      <c r="C12" s="12">
        <f>SUM(C13:C14)</f>
        <v>0</v>
      </c>
      <c r="D12" s="13"/>
      <c r="E12" s="14"/>
    </row>
    <row r="13" spans="1:5" ht="45" x14ac:dyDescent="0.25">
      <c r="A13" s="14" t="s">
        <v>94</v>
      </c>
      <c r="B13" s="16"/>
      <c r="C13" s="16"/>
      <c r="D13" s="13"/>
      <c r="E13" s="14"/>
    </row>
    <row r="14" spans="1:5" x14ac:dyDescent="0.25">
      <c r="A14" s="14" t="s">
        <v>96</v>
      </c>
      <c r="B14" s="16"/>
      <c r="C14" s="16"/>
      <c r="D14" s="13"/>
      <c r="E14" s="14"/>
    </row>
    <row r="15" spans="1:5" ht="45" x14ac:dyDescent="0.25">
      <c r="A15" s="11" t="s">
        <v>97</v>
      </c>
      <c r="B15" s="12">
        <v>0</v>
      </c>
      <c r="C15" s="12">
        <v>0</v>
      </c>
      <c r="D15" s="13"/>
      <c r="E15" s="14"/>
    </row>
    <row r="16" spans="1:5" ht="30" x14ac:dyDescent="0.25">
      <c r="A16" s="11" t="s">
        <v>98</v>
      </c>
      <c r="B16" s="12">
        <f>SUM(B17:B18)</f>
        <v>60000000000</v>
      </c>
      <c r="C16" s="12">
        <f>SUM(C17:C18)</f>
        <v>1991337681.0872703</v>
      </c>
      <c r="E16" s="14"/>
    </row>
    <row r="17" spans="1:5" ht="75" x14ac:dyDescent="0.25">
      <c r="A17" s="13" t="s">
        <v>99</v>
      </c>
      <c r="B17" s="183">
        <f>60*10^9</f>
        <v>60000000000</v>
      </c>
      <c r="C17" s="183">
        <f>B17/B36</f>
        <v>1991337681.0872703</v>
      </c>
      <c r="D17" s="13" t="s">
        <v>1048</v>
      </c>
      <c r="E17" s="260" t="s">
        <v>937</v>
      </c>
    </row>
    <row r="18" spans="1:5" x14ac:dyDescent="0.25">
      <c r="A18" s="13" t="s">
        <v>101</v>
      </c>
      <c r="B18" s="287"/>
      <c r="C18" s="16">
        <f>B18/B36</f>
        <v>0</v>
      </c>
      <c r="D18" s="13"/>
      <c r="E18" s="14"/>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16"/>
      <c r="C24" s="16"/>
      <c r="D24" s="13"/>
      <c r="E24" s="14"/>
    </row>
    <row r="25" spans="1:5" x14ac:dyDescent="0.25">
      <c r="A25" s="13" t="s">
        <v>109</v>
      </c>
      <c r="B25" s="16"/>
      <c r="C25" s="16"/>
      <c r="D25" s="13"/>
      <c r="E25" s="14"/>
    </row>
    <row r="26" spans="1:5" x14ac:dyDescent="0.25">
      <c r="A26" s="22" t="s">
        <v>111</v>
      </c>
      <c r="B26" s="16">
        <f>SUM(B27:B29)</f>
        <v>0</v>
      </c>
      <c r="C26" s="16">
        <f>SUM(C27:C29)</f>
        <v>0</v>
      </c>
      <c r="D26" s="13"/>
      <c r="E26" s="14"/>
    </row>
    <row r="27" spans="1:5" x14ac:dyDescent="0.25">
      <c r="A27" s="13" t="s">
        <v>112</v>
      </c>
      <c r="B27" s="286"/>
      <c r="C27" s="287"/>
      <c r="D27" s="13"/>
      <c r="E27" s="14"/>
    </row>
    <row r="28" spans="1:5" x14ac:dyDescent="0.25">
      <c r="A28" s="13" t="s">
        <v>115</v>
      </c>
      <c r="B28" s="16"/>
      <c r="C28" s="16"/>
      <c r="D28" s="13"/>
      <c r="E28" s="14"/>
    </row>
    <row r="29" spans="1:5" x14ac:dyDescent="0.25">
      <c r="A29" s="13" t="s">
        <v>116</v>
      </c>
      <c r="B29" s="16">
        <f>SUM(B30:B31)</f>
        <v>0</v>
      </c>
      <c r="C29" s="16">
        <f>SUM(C30:C31)</f>
        <v>0</v>
      </c>
      <c r="D29" s="13"/>
      <c r="E29" s="14"/>
    </row>
    <row r="30" spans="1:5" x14ac:dyDescent="0.25">
      <c r="A30" s="25" t="s">
        <v>117</v>
      </c>
      <c r="B30" s="26"/>
      <c r="C30" s="26"/>
      <c r="D30" s="25"/>
      <c r="E30" s="29"/>
    </row>
    <row r="31" spans="1:5" x14ac:dyDescent="0.25">
      <c r="A31" s="25" t="s">
        <v>118</v>
      </c>
      <c r="B31" s="26"/>
      <c r="C31" s="26"/>
      <c r="D31" s="25"/>
      <c r="E31" s="29"/>
    </row>
    <row r="32" spans="1:5" ht="30" x14ac:dyDescent="0.25">
      <c r="A32" s="11" t="s">
        <v>119</v>
      </c>
      <c r="B32" s="12">
        <f>C32*B36</f>
        <v>40073565000</v>
      </c>
      <c r="C32" s="12">
        <f>1.33*10^9</f>
        <v>1330000000</v>
      </c>
      <c r="D32" s="13" t="s">
        <v>938</v>
      </c>
      <c r="E32" s="260" t="s">
        <v>939</v>
      </c>
    </row>
    <row r="33" spans="1:5" x14ac:dyDescent="0.25">
      <c r="A33" s="31"/>
      <c r="B33" s="120"/>
      <c r="C33" s="120"/>
      <c r="D33" s="33"/>
      <c r="E33" s="34"/>
    </row>
    <row r="34" spans="1:5" x14ac:dyDescent="0.25">
      <c r="A34" s="35" t="s">
        <v>120</v>
      </c>
      <c r="B34" s="265">
        <f>(SUM(B5,B8,B12,B15,B16,B32))</f>
        <v>300073565000</v>
      </c>
      <c r="C34" s="265">
        <f>(SUM(C5,C8,C12,C15,C16,C32))</f>
        <v>9959129951.3781719</v>
      </c>
      <c r="D34" s="37" t="s">
        <v>154</v>
      </c>
    </row>
    <row r="35" spans="1:5" x14ac:dyDescent="0.25">
      <c r="A35" s="31"/>
      <c r="B35" s="39"/>
      <c r="C35" s="40"/>
    </row>
    <row r="36" spans="1:5" x14ac:dyDescent="0.25">
      <c r="A36" s="31" t="s">
        <v>121</v>
      </c>
      <c r="B36" s="268">
        <v>30.130500000000001</v>
      </c>
      <c r="C36" s="42"/>
    </row>
    <row r="37" spans="1:5" x14ac:dyDescent="0.25">
      <c r="A37" s="43" t="s">
        <v>122</v>
      </c>
      <c r="B37" s="269">
        <v>18241430000000</v>
      </c>
      <c r="C37" s="269">
        <v>586104000000</v>
      </c>
    </row>
    <row r="38" spans="1:5" x14ac:dyDescent="0.25">
      <c r="A38" s="43" t="s">
        <v>123</v>
      </c>
      <c r="B38" s="269">
        <v>23589000</v>
      </c>
      <c r="C38" s="152"/>
    </row>
    <row r="39" spans="1:5" x14ac:dyDescent="0.25">
      <c r="A39" s="43"/>
      <c r="B39" s="44"/>
      <c r="C39" s="44"/>
    </row>
    <row r="40" spans="1:5" x14ac:dyDescent="0.25">
      <c r="A40" s="5"/>
      <c r="B40" s="46" t="s">
        <v>940</v>
      </c>
      <c r="C40" s="47" t="s">
        <v>125</v>
      </c>
    </row>
    <row r="41" spans="1:5" x14ac:dyDescent="0.25">
      <c r="A41" s="43" t="s">
        <v>126</v>
      </c>
      <c r="B41" s="269">
        <f>$B37/$B38</f>
        <v>773302.38670566794</v>
      </c>
      <c r="C41" s="269">
        <f>$C37/$B38</f>
        <v>24846.496248251304</v>
      </c>
    </row>
    <row r="42" spans="1:5" x14ac:dyDescent="0.25">
      <c r="A42" s="43" t="s">
        <v>127</v>
      </c>
      <c r="B42" s="268">
        <f>($B34/$B37)*100</f>
        <v>1.6450111915568024</v>
      </c>
      <c r="C42" s="96"/>
    </row>
    <row r="43" spans="1:5" x14ac:dyDescent="0.25">
      <c r="A43" s="43" t="s">
        <v>128</v>
      </c>
      <c r="B43" s="268">
        <f>B34/B38</f>
        <v>12720.910805884099</v>
      </c>
      <c r="C43" s="268">
        <f>C34/B38</f>
        <v>422.19381709178737</v>
      </c>
    </row>
    <row r="44" spans="1:5" x14ac:dyDescent="0.25">
      <c r="A44" s="43"/>
      <c r="B44" s="50"/>
      <c r="C44" s="50"/>
    </row>
    <row r="45" spans="1:5" x14ac:dyDescent="0.25">
      <c r="A45" s="375" t="s">
        <v>1072</v>
      </c>
      <c r="B45" s="375"/>
      <c r="C45" s="375"/>
      <c r="D45" s="375"/>
      <c r="E45" s="375"/>
    </row>
    <row r="46" spans="1:5" x14ac:dyDescent="0.25">
      <c r="A46" s="375"/>
      <c r="B46" s="375"/>
      <c r="C46" s="375"/>
      <c r="D46" s="375"/>
      <c r="E46" s="375"/>
    </row>
    <row r="47" spans="1:5" x14ac:dyDescent="0.25">
      <c r="A47" s="43"/>
      <c r="B47" s="51"/>
    </row>
    <row r="48" spans="1:5" x14ac:dyDescent="0.25">
      <c r="A48" s="43" t="s">
        <v>129</v>
      </c>
    </row>
    <row r="49" spans="1:5" x14ac:dyDescent="0.25">
      <c r="A49" s="277" t="s">
        <v>130</v>
      </c>
    </row>
    <row r="50" spans="1:5" x14ac:dyDescent="0.25">
      <c r="A50" s="18"/>
    </row>
    <row r="51" spans="1:5" x14ac:dyDescent="0.25">
      <c r="A51" s="43" t="s">
        <v>131</v>
      </c>
    </row>
    <row r="52" spans="1:5" x14ac:dyDescent="0.25">
      <c r="A52" s="52" t="s">
        <v>130</v>
      </c>
      <c r="B52" s="37"/>
      <c r="C52" s="37"/>
      <c r="E52" s="37"/>
    </row>
    <row r="53" spans="1:5" x14ac:dyDescent="0.25">
      <c r="A53" s="37"/>
      <c r="B53" s="37"/>
      <c r="C53" s="37"/>
      <c r="E53" s="37"/>
    </row>
    <row r="54" spans="1:5" ht="15.6" customHeight="1" x14ac:dyDescent="0.25">
      <c r="A54" s="230"/>
      <c r="B54" s="55"/>
      <c r="C54" s="55"/>
      <c r="D54" s="55"/>
      <c r="E54" s="55"/>
    </row>
    <row r="55" spans="1:5" s="38" customFormat="1" x14ac:dyDescent="0.3">
      <c r="A55" s="364" t="s">
        <v>1067</v>
      </c>
      <c r="B55" s="364"/>
      <c r="C55" s="364"/>
      <c r="D55" s="364"/>
      <c r="E55" s="364"/>
    </row>
    <row r="56" spans="1:5" s="38" customFormat="1" x14ac:dyDescent="0.3">
      <c r="A56" s="364"/>
      <c r="B56" s="364"/>
      <c r="C56" s="364"/>
      <c r="D56" s="364"/>
      <c r="E56" s="364"/>
    </row>
    <row r="69" spans="1:1" x14ac:dyDescent="0.25">
      <c r="A69" s="5"/>
    </row>
  </sheetData>
  <sheetProtection algorithmName="SHA-512" hashValue="zf6uVG4C/52mlrtkAFHzlA+9VUvdi626G0WM7U0m8SNPGKZevTaITs2z1Q0EkJgbDyjwA+TlkjRrdC41pq2sHQ==" saltValue="Eb2czio4/1cSBjWtpx9MGg==" spinCount="100000" sheet="1" formatCells="0" formatColumns="0" formatRows="0" insertColumns="0" insertRows="0" insertHyperlinks="0" deleteColumns="0" deleteRows="0" sort="0" autoFilter="0" pivotTables="0"/>
  <mergeCells count="2">
    <mergeCell ref="A55:E56"/>
    <mergeCell ref="A45:E46"/>
  </mergeCells>
  <hyperlinks>
    <hyperlink ref="A2" location="Index!E38" display="[Back to Index]" xr:uid="{92222DE8-536F-4017-A80B-E2102FA311D6}"/>
  </hyperlinks>
  <pageMargins left="0.7" right="0.7" top="0.75" bottom="0.75" header="0.3" footer="0.3"/>
  <pageSetup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22A0-61E0-410B-925F-5207521C51C2}">
  <sheetPr codeName="Sheet42">
    <tabColor theme="6" tint="0.59999389629810485"/>
  </sheetPr>
  <dimension ref="A1:E57"/>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B1" sqref="B1"/>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55</v>
      </c>
      <c r="B1" s="2" t="s">
        <v>73</v>
      </c>
      <c r="C1" s="80">
        <v>1.3287389999999999</v>
      </c>
      <c r="D1" s="4" t="s">
        <v>1045</v>
      </c>
    </row>
    <row r="2" spans="1:5" s="5" customFormat="1" x14ac:dyDescent="0.25">
      <c r="A2" s="324" t="s">
        <v>74</v>
      </c>
      <c r="C2" s="80">
        <v>5.2058800000000002E-2</v>
      </c>
      <c r="D2" s="4" t="s">
        <v>1046</v>
      </c>
    </row>
    <row r="3" spans="1:5" x14ac:dyDescent="0.25">
      <c r="A3" s="154"/>
      <c r="B3" s="222"/>
      <c r="C3" s="142"/>
    </row>
    <row r="4" spans="1:5" s="10" customFormat="1" x14ac:dyDescent="0.3">
      <c r="A4" s="8" t="s">
        <v>75</v>
      </c>
      <c r="B4" s="9" t="s">
        <v>803</v>
      </c>
      <c r="C4" s="9" t="s">
        <v>77</v>
      </c>
      <c r="D4" s="9" t="s">
        <v>78</v>
      </c>
      <c r="E4" s="8" t="s">
        <v>79</v>
      </c>
    </row>
    <row r="5" spans="1:5" s="15" customFormat="1" ht="60" x14ac:dyDescent="0.25">
      <c r="A5" s="11" t="s">
        <v>80</v>
      </c>
      <c r="B5" s="12">
        <f>SUM(B6:B7)</f>
        <v>50000000000</v>
      </c>
      <c r="C5" s="12">
        <f>SUM(C6:C7)</f>
        <v>588581518.54031777</v>
      </c>
      <c r="D5" s="13"/>
      <c r="E5" s="14"/>
    </row>
    <row r="6" spans="1:5" s="15" customFormat="1" ht="75" x14ac:dyDescent="0.25">
      <c r="A6" s="14" t="s">
        <v>81</v>
      </c>
      <c r="B6" s="16">
        <f>50*10^9</f>
        <v>50000000000</v>
      </c>
      <c r="C6" s="16">
        <f>B6/$B$36</f>
        <v>588581518.54031777</v>
      </c>
      <c r="D6" s="13" t="s">
        <v>804</v>
      </c>
      <c r="E6" s="14" t="s">
        <v>805</v>
      </c>
    </row>
    <row r="7" spans="1:5" s="15" customFormat="1" ht="90" x14ac:dyDescent="0.25">
      <c r="A7" s="14" t="s">
        <v>84</v>
      </c>
      <c r="B7" s="17"/>
      <c r="C7" s="17"/>
      <c r="D7" s="13" t="s">
        <v>806</v>
      </c>
      <c r="E7" s="14" t="s">
        <v>805</v>
      </c>
    </row>
    <row r="8" spans="1:5" ht="30" x14ac:dyDescent="0.25">
      <c r="A8" s="11" t="s">
        <v>87</v>
      </c>
      <c r="B8" s="12">
        <f>SUM(B9:B11)</f>
        <v>500000000000</v>
      </c>
      <c r="C8" s="12">
        <f>SUM(C9:C11)</f>
        <v>5885815185.4031782</v>
      </c>
      <c r="D8" s="13"/>
      <c r="E8" s="14"/>
    </row>
    <row r="9" spans="1:5" ht="60" x14ac:dyDescent="0.25">
      <c r="A9" s="14" t="s">
        <v>88</v>
      </c>
      <c r="B9" s="227">
        <f>(500)*10^9</f>
        <v>500000000000</v>
      </c>
      <c r="C9" s="231">
        <f>B9/$B$36</f>
        <v>5885815185.4031782</v>
      </c>
      <c r="D9" s="110" t="s">
        <v>807</v>
      </c>
      <c r="E9" s="14" t="s">
        <v>805</v>
      </c>
    </row>
    <row r="10" spans="1:5" ht="60" x14ac:dyDescent="0.25">
      <c r="A10" s="14" t="s">
        <v>90</v>
      </c>
      <c r="B10" s="16"/>
      <c r="C10" s="16"/>
      <c r="D10" s="13" t="s">
        <v>808</v>
      </c>
      <c r="E10" s="14" t="s">
        <v>805</v>
      </c>
    </row>
    <row r="11" spans="1:5" x14ac:dyDescent="0.25">
      <c r="A11" s="14" t="s">
        <v>92</v>
      </c>
      <c r="B11" s="19"/>
      <c r="C11" s="19"/>
      <c r="D11" s="13"/>
      <c r="E11" s="14"/>
    </row>
    <row r="12" spans="1:5" ht="45" x14ac:dyDescent="0.25">
      <c r="A12" s="11" t="s">
        <v>93</v>
      </c>
      <c r="B12" s="12">
        <f>SUM(B13:B14)</f>
        <v>0</v>
      </c>
      <c r="C12" s="12">
        <f>SUM(C13:C14)</f>
        <v>0</v>
      </c>
      <c r="D12" s="13"/>
      <c r="E12" s="14"/>
    </row>
    <row r="13" spans="1:5" ht="60" x14ac:dyDescent="0.25">
      <c r="A13" s="14" t="s">
        <v>94</v>
      </c>
      <c r="B13" s="23"/>
      <c r="C13" s="23"/>
      <c r="D13" s="13" t="s">
        <v>809</v>
      </c>
      <c r="E13" s="14" t="s">
        <v>805</v>
      </c>
    </row>
    <row r="14" spans="1:5" x14ac:dyDescent="0.25">
      <c r="A14" s="14" t="s">
        <v>96</v>
      </c>
      <c r="B14" s="16"/>
      <c r="C14" s="16"/>
      <c r="D14" s="13"/>
      <c r="E14" s="14"/>
    </row>
    <row r="15" spans="1:5" ht="45" x14ac:dyDescent="0.25">
      <c r="A15" s="11" t="s">
        <v>97</v>
      </c>
      <c r="B15" s="12"/>
      <c r="C15" s="12"/>
      <c r="D15" s="13"/>
      <c r="E15" s="14"/>
    </row>
    <row r="16" spans="1:5" ht="150" x14ac:dyDescent="0.25">
      <c r="A16" s="11" t="s">
        <v>98</v>
      </c>
      <c r="B16" s="12">
        <f>SUM(B17:B18)</f>
        <v>0</v>
      </c>
      <c r="C16" s="12">
        <f>SUM(C17:C18)</f>
        <v>0</v>
      </c>
      <c r="D16" s="13" t="s">
        <v>810</v>
      </c>
      <c r="E16" s="14" t="s">
        <v>805</v>
      </c>
    </row>
    <row r="17" spans="1:5" x14ac:dyDescent="0.25">
      <c r="A17" s="13" t="s">
        <v>99</v>
      </c>
      <c r="B17" s="85"/>
      <c r="C17" s="23"/>
      <c r="D17" s="57"/>
      <c r="E17" s="14"/>
    </row>
    <row r="18" spans="1:5" ht="60" x14ac:dyDescent="0.25">
      <c r="A18" s="13" t="s">
        <v>101</v>
      </c>
      <c r="B18" s="23"/>
      <c r="C18" s="23"/>
      <c r="D18" s="110" t="s">
        <v>811</v>
      </c>
      <c r="E18" s="14" t="s">
        <v>805</v>
      </c>
    </row>
    <row r="19" spans="1:5" ht="30" x14ac:dyDescent="0.25">
      <c r="A19" s="11" t="s">
        <v>103</v>
      </c>
      <c r="B19" s="12"/>
      <c r="C19" s="12"/>
      <c r="D19" s="13"/>
      <c r="E19" s="21"/>
    </row>
    <row r="20" spans="1:5" x14ac:dyDescent="0.25">
      <c r="A20" s="14" t="s">
        <v>104</v>
      </c>
      <c r="B20" s="16"/>
      <c r="C20" s="16"/>
      <c r="D20" s="13"/>
      <c r="E20" s="21"/>
    </row>
    <row r="21" spans="1:5" ht="60" x14ac:dyDescent="0.25">
      <c r="A21" s="22" t="s">
        <v>105</v>
      </c>
      <c r="B21" s="12">
        <f>SUM(B22,B24)</f>
        <v>0</v>
      </c>
      <c r="C21" s="12">
        <f>SUM(C22,C24)</f>
        <v>0</v>
      </c>
      <c r="D21" s="13" t="s">
        <v>812</v>
      </c>
      <c r="E21" s="14" t="s">
        <v>805</v>
      </c>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8637716000</v>
      </c>
      <c r="C26" s="12">
        <f>SUM(C27:C29)</f>
        <v>101680000</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6">
        <f>SUM(B30:B31)</f>
        <v>8637716000</v>
      </c>
      <c r="C29" s="16">
        <f>SUM(C30:C31)</f>
        <v>101680000</v>
      </c>
      <c r="D29" s="13"/>
      <c r="E29" s="14"/>
    </row>
    <row r="30" spans="1:5" ht="45" x14ac:dyDescent="0.25">
      <c r="A30" s="13" t="s">
        <v>117</v>
      </c>
      <c r="B30" s="16">
        <f>C30*$B$36</f>
        <v>142716000.00000003</v>
      </c>
      <c r="C30" s="16">
        <f>(1.33+0.35)*10^6</f>
        <v>1680000.0000000002</v>
      </c>
      <c r="D30" s="83" t="s">
        <v>813</v>
      </c>
      <c r="E30" s="24" t="s">
        <v>209</v>
      </c>
    </row>
    <row r="31" spans="1:5" ht="90" x14ac:dyDescent="0.25">
      <c r="A31" s="13" t="s">
        <v>118</v>
      </c>
      <c r="B31" s="19">
        <f>C31*$B$36</f>
        <v>8495000000</v>
      </c>
      <c r="C31" s="19">
        <f>100*10^6</f>
        <v>100000000</v>
      </c>
      <c r="D31" s="13" t="s">
        <v>814</v>
      </c>
      <c r="E31" s="14" t="s">
        <v>815</v>
      </c>
    </row>
    <row r="32" spans="1:5" ht="75" x14ac:dyDescent="0.25">
      <c r="A32" s="11" t="s">
        <v>119</v>
      </c>
      <c r="B32" s="351">
        <f>C32*$B$36</f>
        <v>409934999995.20001</v>
      </c>
      <c r="C32" s="12">
        <v>4825603296</v>
      </c>
      <c r="D32" s="13" t="s">
        <v>1082</v>
      </c>
      <c r="E32" s="14" t="s">
        <v>1083</v>
      </c>
    </row>
    <row r="33" spans="1:5" x14ac:dyDescent="0.25">
      <c r="A33" s="31"/>
      <c r="B33" s="120"/>
      <c r="C33" s="120"/>
      <c r="D33" s="33"/>
      <c r="E33" s="34"/>
    </row>
    <row r="34" spans="1:5" x14ac:dyDescent="0.25">
      <c r="A34" s="35" t="s">
        <v>120</v>
      </c>
      <c r="B34" s="39">
        <f>SUM(B5,B8,B12,B15,B16,B32)</f>
        <v>959934999995.19995</v>
      </c>
      <c r="C34" s="39">
        <f>SUM(C5,C8,C12,C15,C16,C32)</f>
        <v>11299999999.943497</v>
      </c>
      <c r="D34" s="37" t="s">
        <v>154</v>
      </c>
    </row>
    <row r="35" spans="1:5" x14ac:dyDescent="0.25">
      <c r="A35" s="31"/>
      <c r="B35" s="39"/>
      <c r="C35" s="40"/>
    </row>
    <row r="36" spans="1:5" x14ac:dyDescent="0.25">
      <c r="A36" s="31" t="s">
        <v>121</v>
      </c>
      <c r="B36" s="88">
        <v>84.95</v>
      </c>
      <c r="C36" s="42"/>
    </row>
    <row r="37" spans="1:5" x14ac:dyDescent="0.25">
      <c r="A37" s="43" t="s">
        <v>122</v>
      </c>
      <c r="B37" s="45">
        <v>27447130000000</v>
      </c>
      <c r="C37" s="45">
        <v>317465000000</v>
      </c>
    </row>
    <row r="38" spans="1:5" x14ac:dyDescent="0.25">
      <c r="A38" s="43" t="s">
        <v>123</v>
      </c>
      <c r="B38" s="45">
        <v>161356039</v>
      </c>
      <c r="C38" s="45"/>
    </row>
    <row r="39" spans="1:5" x14ac:dyDescent="0.25">
      <c r="A39" s="43"/>
      <c r="B39" s="44"/>
      <c r="C39" s="44"/>
    </row>
    <row r="40" spans="1:5" x14ac:dyDescent="0.25">
      <c r="A40" s="5"/>
      <c r="B40" s="46" t="s">
        <v>816</v>
      </c>
      <c r="C40" s="47" t="s">
        <v>125</v>
      </c>
    </row>
    <row r="41" spans="1:5" x14ac:dyDescent="0.25">
      <c r="A41" s="43" t="s">
        <v>126</v>
      </c>
      <c r="B41" s="48">
        <f>$B37/$B$38</f>
        <v>170102.89896865899</v>
      </c>
      <c r="C41" s="48">
        <f>$C37/$B$38</f>
        <v>1967.4813658508313</v>
      </c>
    </row>
    <row r="42" spans="1:5" x14ac:dyDescent="0.25">
      <c r="A42" s="43" t="s">
        <v>127</v>
      </c>
      <c r="B42" s="49">
        <f>($B34/$B37)*100</f>
        <v>3.4973966312514273</v>
      </c>
      <c r="C42" s="49"/>
    </row>
    <row r="43" spans="1:5" x14ac:dyDescent="0.25">
      <c r="A43" s="43" t="s">
        <v>128</v>
      </c>
      <c r="B43" s="50">
        <f>$B34/$B$38</f>
        <v>5949.1730581908987</v>
      </c>
      <c r="C43" s="50">
        <f>$C34/$B$38</f>
        <v>70.031466252982923</v>
      </c>
    </row>
    <row r="44" spans="1:5" x14ac:dyDescent="0.25">
      <c r="A44" s="43"/>
      <c r="B44" s="50"/>
      <c r="C44" s="50"/>
    </row>
    <row r="45" spans="1:5" x14ac:dyDescent="0.25">
      <c r="A45" s="336" t="s">
        <v>1055</v>
      </c>
      <c r="B45" s="50"/>
      <c r="C45" s="50"/>
    </row>
    <row r="46" spans="1:5" x14ac:dyDescent="0.25">
      <c r="A46" s="43"/>
      <c r="B46" s="50"/>
      <c r="C46" s="50"/>
    </row>
    <row r="47" spans="1:5" x14ac:dyDescent="0.25">
      <c r="A47" s="43"/>
      <c r="B47" s="51"/>
    </row>
    <row r="48" spans="1:5" x14ac:dyDescent="0.25">
      <c r="A48" s="43" t="s">
        <v>129</v>
      </c>
    </row>
    <row r="49" spans="1:5" ht="15.45" customHeight="1" x14ac:dyDescent="0.25">
      <c r="A49" s="53" t="s">
        <v>664</v>
      </c>
      <c r="B49" s="53"/>
      <c r="C49" s="53"/>
      <c r="D49" s="53"/>
      <c r="E49" s="53"/>
    </row>
    <row r="50" spans="1:5" ht="15.45" customHeight="1" x14ac:dyDescent="0.25">
      <c r="A50" s="53"/>
      <c r="B50" s="53"/>
      <c r="C50" s="53"/>
      <c r="D50" s="53"/>
      <c r="E50" s="53"/>
    </row>
    <row r="52" spans="1:5" x14ac:dyDescent="0.25">
      <c r="A52" s="43" t="s">
        <v>131</v>
      </c>
    </row>
    <row r="53" spans="1:5" s="38" customFormat="1" x14ac:dyDescent="0.3">
      <c r="A53" s="53" t="s">
        <v>664</v>
      </c>
      <c r="B53" s="55"/>
      <c r="C53" s="55"/>
      <c r="D53" s="55"/>
      <c r="E53" s="55"/>
    </row>
    <row r="54" spans="1:5" s="38" customFormat="1" x14ac:dyDescent="0.3">
      <c r="A54" s="230"/>
      <c r="B54" s="55"/>
      <c r="C54" s="55"/>
      <c r="D54" s="55"/>
      <c r="E54" s="55"/>
    </row>
    <row r="55" spans="1:5" s="38" customFormat="1" x14ac:dyDescent="0.3">
      <c r="B55" s="34"/>
      <c r="C55" s="34"/>
      <c r="D55" s="34"/>
      <c r="E55" s="34"/>
    </row>
    <row r="56" spans="1:5" x14ac:dyDescent="0.25">
      <c r="A56" s="364" t="s">
        <v>1084</v>
      </c>
      <c r="B56" s="364"/>
      <c r="C56" s="364"/>
      <c r="D56" s="364"/>
      <c r="E56" s="364"/>
    </row>
    <row r="57" spans="1:5" x14ac:dyDescent="0.25">
      <c r="A57" s="364"/>
      <c r="B57" s="364"/>
      <c r="C57" s="364"/>
      <c r="D57" s="364"/>
      <c r="E57" s="364"/>
    </row>
  </sheetData>
  <sheetProtection algorithmName="SHA-512" hashValue="9IBYuYUKKaI/qTRtjZFtkvqJYMy7FYo3ydVmYcNZDMIbbMOQwtyzir/qCHPbB/EX6Lc+K0VecJ0OA+/aEm5lYw==" saltValue="VIui9RTmUJhsgsez3dR9Bw==" spinCount="100000" sheet="1" formatCells="0" formatColumns="0" formatRows="0" insertColumns="0" insertRows="0" insertHyperlinks="0" deleteColumns="0" deleteRows="0" sort="0" autoFilter="0" pivotTables="0"/>
  <mergeCells count="1">
    <mergeCell ref="A56:E57"/>
  </mergeCells>
  <hyperlinks>
    <hyperlink ref="A2" location="Index!E41" display="[Back to Index]" xr:uid="{B4D257B6-2E17-48FA-BFEA-BAAF8C7BE619}"/>
  </hyperlinks>
  <pageMargins left="0.7" right="0.7" top="0.75" bottom="0.75" header="0.3" footer="0.3"/>
  <pageSetup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D217-21A5-4201-91ED-8E03BBC97557}">
  <sheetPr codeName="Sheet43">
    <tabColor theme="6" tint="0.59999389629810485"/>
  </sheetPr>
  <dimension ref="A1:E62"/>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B3" sqref="B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58</v>
      </c>
      <c r="B1" s="2" t="s">
        <v>73</v>
      </c>
      <c r="C1" s="84">
        <v>0.66278360000000003</v>
      </c>
      <c r="D1" s="4" t="s">
        <v>1045</v>
      </c>
    </row>
    <row r="2" spans="1:5" s="5" customFormat="1" x14ac:dyDescent="0.25">
      <c r="A2" s="324" t="s">
        <v>74</v>
      </c>
      <c r="C2" s="84">
        <v>0</v>
      </c>
      <c r="D2" s="4" t="s">
        <v>1046</v>
      </c>
    </row>
    <row r="3" spans="1:5" s="5" customFormat="1" x14ac:dyDescent="0.25">
      <c r="A3" s="6"/>
      <c r="D3" s="7"/>
    </row>
    <row r="4" spans="1:5" s="10" customFormat="1" x14ac:dyDescent="0.3">
      <c r="A4" s="8" t="s">
        <v>75</v>
      </c>
      <c r="B4" s="9" t="s">
        <v>203</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60" x14ac:dyDescent="0.25">
      <c r="A7" s="14" t="s">
        <v>84</v>
      </c>
      <c r="B7" s="17"/>
      <c r="C7" s="17"/>
      <c r="D7" s="13" t="s">
        <v>204</v>
      </c>
      <c r="E7" s="14" t="s">
        <v>205</v>
      </c>
    </row>
    <row r="8" spans="1:5" ht="30" x14ac:dyDescent="0.25">
      <c r="A8" s="11" t="s">
        <v>87</v>
      </c>
      <c r="B8" s="12">
        <f>SUM(B9:B11)</f>
        <v>0</v>
      </c>
      <c r="C8" s="12">
        <f>SUM(C9:C11)</f>
        <v>0</v>
      </c>
      <c r="D8" s="13"/>
      <c r="E8" s="14"/>
    </row>
    <row r="9" spans="1:5" ht="60" x14ac:dyDescent="0.25">
      <c r="A9" s="14" t="s">
        <v>88</v>
      </c>
      <c r="B9" s="16"/>
      <c r="C9" s="16"/>
      <c r="D9" s="13"/>
      <c r="E9" s="14"/>
    </row>
    <row r="10" spans="1:5" ht="45" x14ac:dyDescent="0.25">
      <c r="A10" s="14" t="s">
        <v>90</v>
      </c>
      <c r="B10" s="16"/>
      <c r="C10" s="16"/>
      <c r="D10" s="13"/>
      <c r="E10" s="14"/>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30" x14ac:dyDescent="0.25">
      <c r="A16" s="11" t="s">
        <v>98</v>
      </c>
      <c r="B16" s="12">
        <f>SUM(B17:B18)</f>
        <v>30000000000</v>
      </c>
      <c r="C16" s="12">
        <f>SUM(C17:C18)</f>
        <v>403680518.17281163</v>
      </c>
      <c r="D16" s="13"/>
      <c r="E16" s="14"/>
    </row>
    <row r="17" spans="1:5" x14ac:dyDescent="0.25">
      <c r="A17" s="13" t="s">
        <v>99</v>
      </c>
      <c r="B17" s="85"/>
      <c r="C17" s="23"/>
      <c r="D17" s="57"/>
      <c r="E17" s="14"/>
    </row>
    <row r="18" spans="1:5" ht="150" x14ac:dyDescent="0.25">
      <c r="A18" s="13" t="s">
        <v>101</v>
      </c>
      <c r="B18" s="19">
        <f>(30)*10^9</f>
        <v>30000000000</v>
      </c>
      <c r="C18" s="19">
        <f>B18/$B$36</f>
        <v>403680518.17281163</v>
      </c>
      <c r="D18" s="58" t="s">
        <v>206</v>
      </c>
      <c r="E18" s="13" t="s">
        <v>207</v>
      </c>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10775848.236842105</v>
      </c>
      <c r="C26" s="12">
        <f>SUM(C27:C29)</f>
        <v>145000</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9">
        <f>SUM(B30:B31)</f>
        <v>10775848.236842105</v>
      </c>
      <c r="C29" s="19">
        <f>SUM(C30:C31)</f>
        <v>145000</v>
      </c>
      <c r="D29" s="13"/>
      <c r="E29" s="14"/>
    </row>
    <row r="30" spans="1:5" ht="30" x14ac:dyDescent="0.25">
      <c r="A30" s="13" t="s">
        <v>117</v>
      </c>
      <c r="B30" s="19">
        <f>C30*$B$36</f>
        <v>7431619.4736842103</v>
      </c>
      <c r="C30" s="19">
        <v>100000</v>
      </c>
      <c r="D30" s="83" t="s">
        <v>208</v>
      </c>
      <c r="E30" s="24" t="s">
        <v>209</v>
      </c>
    </row>
    <row r="31" spans="1:5" ht="75" x14ac:dyDescent="0.25">
      <c r="A31" s="13" t="s">
        <v>118</v>
      </c>
      <c r="B31" s="19">
        <f>C31*$B$36</f>
        <v>3344228.7631578948</v>
      </c>
      <c r="C31" s="19">
        <v>45000</v>
      </c>
      <c r="D31" s="13" t="s">
        <v>210</v>
      </c>
      <c r="E31" s="14" t="s">
        <v>211</v>
      </c>
    </row>
    <row r="32" spans="1:5" x14ac:dyDescent="0.25">
      <c r="A32" s="11" t="s">
        <v>119</v>
      </c>
      <c r="B32" s="86"/>
      <c r="C32" s="87"/>
      <c r="D32" s="13"/>
      <c r="E32" s="14"/>
    </row>
    <row r="33" spans="1:5" x14ac:dyDescent="0.25">
      <c r="A33" s="31"/>
      <c r="B33" s="32"/>
      <c r="C33" s="32"/>
      <c r="D33" s="33"/>
      <c r="E33" s="34"/>
    </row>
    <row r="34" spans="1:5" x14ac:dyDescent="0.25">
      <c r="A34" s="35" t="s">
        <v>120</v>
      </c>
      <c r="B34" s="36">
        <f>SUM(B5,B8,B12,B15,B16)</f>
        <v>30000000000</v>
      </c>
      <c r="C34" s="36">
        <f>SUM(C5,C8,C12,C15,C16)</f>
        <v>403680518.17281163</v>
      </c>
    </row>
    <row r="35" spans="1:5" x14ac:dyDescent="0.25">
      <c r="A35" s="35"/>
      <c r="B35" s="39"/>
      <c r="C35" s="40"/>
    </row>
    <row r="36" spans="1:5" x14ac:dyDescent="0.25">
      <c r="A36" s="35" t="s">
        <v>121</v>
      </c>
      <c r="B36" s="88">
        <v>74.316194736842107</v>
      </c>
      <c r="C36" s="42"/>
    </row>
    <row r="37" spans="1:5" x14ac:dyDescent="0.25">
      <c r="A37" s="43" t="s">
        <v>122</v>
      </c>
      <c r="B37" s="45">
        <v>192827000000</v>
      </c>
      <c r="C37" s="45">
        <v>2842000000</v>
      </c>
    </row>
    <row r="38" spans="1:5" x14ac:dyDescent="0.25">
      <c r="A38" s="43" t="s">
        <v>123</v>
      </c>
      <c r="B38" s="45">
        <v>754394</v>
      </c>
      <c r="C38" s="45"/>
    </row>
    <row r="39" spans="1:5" x14ac:dyDescent="0.25">
      <c r="A39" s="43"/>
      <c r="B39" s="44"/>
      <c r="C39" s="44"/>
    </row>
    <row r="40" spans="1:5" x14ac:dyDescent="0.25">
      <c r="A40" s="5"/>
      <c r="B40" s="46" t="s">
        <v>212</v>
      </c>
      <c r="C40" s="47" t="s">
        <v>125</v>
      </c>
    </row>
    <row r="41" spans="1:5" x14ac:dyDescent="0.25">
      <c r="A41" s="43" t="s">
        <v>126</v>
      </c>
      <c r="B41" s="48">
        <f>$B37/$B$38</f>
        <v>255605.16122874783</v>
      </c>
      <c r="C41" s="48">
        <f>$C37/$B$38</f>
        <v>3767.2621998584295</v>
      </c>
    </row>
    <row r="42" spans="1:5" x14ac:dyDescent="0.25">
      <c r="A42" s="43" t="s">
        <v>127</v>
      </c>
      <c r="B42" s="49">
        <f>($B34/$B37)*100</f>
        <v>15.557987211334511</v>
      </c>
      <c r="C42" s="49"/>
    </row>
    <row r="43" spans="1:5" x14ac:dyDescent="0.25">
      <c r="A43" s="43" t="s">
        <v>128</v>
      </c>
      <c r="B43" s="50">
        <f>$B34/$B$38</f>
        <v>39767.018295479553</v>
      </c>
      <c r="C43" s="50">
        <f>$C34/$B$38</f>
        <v>535.10568505689548</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ht="15.6" customHeight="1" x14ac:dyDescent="0.25">
      <c r="A49" s="52" t="s">
        <v>213</v>
      </c>
      <c r="B49" s="53"/>
      <c r="C49" s="53"/>
      <c r="D49" s="53"/>
      <c r="E49" s="53"/>
    </row>
    <row r="50" spans="1:5" x14ac:dyDescent="0.25">
      <c r="A50" s="52" t="s">
        <v>214</v>
      </c>
    </row>
    <row r="51" spans="1:5" x14ac:dyDescent="0.25">
      <c r="A51" s="5" t="s">
        <v>136</v>
      </c>
    </row>
    <row r="53" spans="1:5" x14ac:dyDescent="0.25">
      <c r="A53" s="43" t="s">
        <v>131</v>
      </c>
    </row>
    <row r="54" spans="1:5" s="38" customFormat="1" x14ac:dyDescent="0.3">
      <c r="A54" s="54" t="s">
        <v>215</v>
      </c>
      <c r="B54" s="55"/>
      <c r="C54" s="55"/>
      <c r="D54" s="55"/>
      <c r="E54" s="55"/>
    </row>
    <row r="55" spans="1:5" s="38" customFormat="1" x14ac:dyDescent="0.25">
      <c r="A55" s="37" t="s">
        <v>216</v>
      </c>
      <c r="B55" s="55"/>
      <c r="C55" s="55"/>
      <c r="D55" s="55"/>
      <c r="E55" s="55"/>
    </row>
    <row r="56" spans="1:5" s="38" customFormat="1" x14ac:dyDescent="0.25">
      <c r="A56" s="37" t="s">
        <v>217</v>
      </c>
      <c r="B56" s="34"/>
      <c r="C56" s="34"/>
      <c r="D56" s="34"/>
      <c r="E56" s="34"/>
    </row>
    <row r="57" spans="1:5" s="38" customFormat="1" x14ac:dyDescent="0.25">
      <c r="A57" s="37" t="s">
        <v>218</v>
      </c>
      <c r="D57" s="37"/>
    </row>
    <row r="58" spans="1:5" x14ac:dyDescent="0.25">
      <c r="A58" s="5" t="s">
        <v>136</v>
      </c>
    </row>
    <row r="61" spans="1:5" x14ac:dyDescent="0.25">
      <c r="A61" s="364" t="s">
        <v>1060</v>
      </c>
      <c r="B61" s="364"/>
      <c r="C61" s="364"/>
      <c r="D61" s="364"/>
      <c r="E61" s="364"/>
    </row>
    <row r="62" spans="1:5" x14ac:dyDescent="0.25">
      <c r="A62" s="364"/>
      <c r="B62" s="364"/>
      <c r="C62" s="364"/>
      <c r="D62" s="364"/>
      <c r="E62" s="364"/>
    </row>
  </sheetData>
  <sheetProtection algorithmName="SHA-512" hashValue="DPk1qc5dZzAZUPbCzlcLFMp9gbWjRk+SdxZn9Y6Pv7xkya4RZi+ZSaPRALEIW871t4aLcM0vtdNw69UOHz5DFA==" saltValue="3+y1H7Tp154LHV10P71mFQ==" spinCount="100000" sheet="1" formatCells="0" formatColumns="0" formatRows="0" insertColumns="0" insertRows="0" insertHyperlinks="0" deleteColumns="0" deleteRows="0" selectLockedCells="1" sort="0" autoFilter="0" pivotTables="0" selectUnlockedCells="1"/>
  <mergeCells count="1">
    <mergeCell ref="A61:E62"/>
  </mergeCells>
  <hyperlinks>
    <hyperlink ref="A2" location="Index!E42" display="[Back to Index]" xr:uid="{C7F7BA26-541E-4489-8C50-9F47BE864A6D}"/>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7A3D-1F1A-4BEB-8037-801E6FA60BA9}">
  <sheetPr codeName="Sheet44">
    <tabColor theme="6" tint="0.59999389629810485"/>
  </sheetPr>
  <dimension ref="A1:X7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A2" sqref="A2"/>
    </sheetView>
  </sheetViews>
  <sheetFormatPr defaultColWidth="8.6640625" defaultRowHeight="15" x14ac:dyDescent="0.25"/>
  <cols>
    <col min="1" max="1" width="48.6640625" style="38" customWidth="1"/>
    <col min="2" max="2" width="27.5546875" style="38" customWidth="1"/>
    <col min="3" max="3" width="27.6640625" style="38" customWidth="1"/>
    <col min="4" max="4" width="95.6640625" style="37" customWidth="1"/>
    <col min="5" max="5" width="40.6640625" style="38" customWidth="1"/>
    <col min="6" max="7" width="8.6640625" style="18"/>
    <col min="8" max="8" width="10.109375" style="18" bestFit="1" customWidth="1"/>
    <col min="9" max="16384" width="8.6640625" style="18"/>
  </cols>
  <sheetData>
    <row r="1" spans="1:5" s="5" customFormat="1" ht="17.399999999999999" x14ac:dyDescent="0.25">
      <c r="A1" s="112" t="s">
        <v>61</v>
      </c>
      <c r="B1" s="2" t="s">
        <v>73</v>
      </c>
      <c r="C1" s="84">
        <v>1.1616</v>
      </c>
      <c r="D1" s="4" t="s">
        <v>1045</v>
      </c>
    </row>
    <row r="2" spans="1:5" s="5" customFormat="1" x14ac:dyDescent="0.25">
      <c r="A2" s="324" t="s">
        <v>74</v>
      </c>
      <c r="C2" s="84">
        <v>3.74829E-2</v>
      </c>
      <c r="D2" s="4" t="s">
        <v>1046</v>
      </c>
    </row>
    <row r="3" spans="1:5" x14ac:dyDescent="0.25">
      <c r="A3" s="154"/>
      <c r="B3" s="222"/>
      <c r="C3" s="142"/>
    </row>
    <row r="4" spans="1:5" s="10" customFormat="1" x14ac:dyDescent="0.3">
      <c r="A4" s="8" t="s">
        <v>75</v>
      </c>
      <c r="B4" s="9" t="s">
        <v>845</v>
      </c>
      <c r="C4" s="9" t="s">
        <v>77</v>
      </c>
      <c r="D4" s="9" t="s">
        <v>78</v>
      </c>
      <c r="E4" s="8" t="s">
        <v>79</v>
      </c>
    </row>
    <row r="5" spans="1:5" s="15" customFormat="1" ht="60" x14ac:dyDescent="0.25">
      <c r="A5" s="11" t="s">
        <v>80</v>
      </c>
      <c r="B5" s="12">
        <f>SUM(B6:B7)</f>
        <v>1510359238438.6316</v>
      </c>
      <c r="C5" s="12">
        <f>SUM(C6:C7)</f>
        <v>20323420000</v>
      </c>
      <c r="D5" s="13"/>
      <c r="E5" s="14"/>
    </row>
    <row r="6" spans="1:5" s="15" customFormat="1" ht="71.400000000000006" customHeight="1" x14ac:dyDescent="0.25">
      <c r="A6" s="14" t="s">
        <v>81</v>
      </c>
      <c r="B6" s="16">
        <f>C6*B$36</f>
        <v>1308962350701.7896</v>
      </c>
      <c r="C6" s="16">
        <f>(0.006*C37)</f>
        <v>17613420000</v>
      </c>
      <c r="D6" s="13" t="s">
        <v>1104</v>
      </c>
      <c r="E6" s="260" t="s">
        <v>1106</v>
      </c>
    </row>
    <row r="7" spans="1:5" s="15" customFormat="1" ht="107.4" customHeight="1" x14ac:dyDescent="0.25">
      <c r="A7" s="14" t="s">
        <v>84</v>
      </c>
      <c r="B7" s="16">
        <f>C7*B$36</f>
        <v>201396887736.8421</v>
      </c>
      <c r="C7" s="17">
        <f>+(2.71*10^9)</f>
        <v>2710000000</v>
      </c>
      <c r="D7" s="13" t="s">
        <v>1105</v>
      </c>
      <c r="E7" s="260" t="s">
        <v>1107</v>
      </c>
    </row>
    <row r="8" spans="1:5" ht="30" x14ac:dyDescent="0.25">
      <c r="A8" s="11" t="s">
        <v>87</v>
      </c>
      <c r="B8" s="12">
        <f>SUM(B9:B11)</f>
        <v>1090801958918.158</v>
      </c>
      <c r="C8" s="12">
        <f>SUM(C9:C11)</f>
        <v>14677850000</v>
      </c>
      <c r="D8" s="13"/>
      <c r="E8" s="14"/>
    </row>
    <row r="9" spans="1:5" ht="60" x14ac:dyDescent="0.25">
      <c r="A9" s="14" t="s">
        <v>88</v>
      </c>
      <c r="B9" s="16">
        <f>C9*B36</f>
        <v>1090801958918.158</v>
      </c>
      <c r="C9" s="16">
        <f>0.005*C37</f>
        <v>14677850000</v>
      </c>
      <c r="D9" s="13" t="s">
        <v>847</v>
      </c>
      <c r="E9" s="260" t="s">
        <v>846</v>
      </c>
    </row>
    <row r="10" spans="1:5" ht="135" x14ac:dyDescent="0.25">
      <c r="A10" s="14" t="s">
        <v>90</v>
      </c>
      <c r="B10" s="16"/>
      <c r="C10" s="16"/>
      <c r="D10" s="13" t="s">
        <v>848</v>
      </c>
      <c r="E10" s="260" t="s">
        <v>846</v>
      </c>
    </row>
    <row r="11" spans="1:5" x14ac:dyDescent="0.25">
      <c r="A11" s="14" t="s">
        <v>92</v>
      </c>
      <c r="B11" s="16"/>
      <c r="C11" s="16"/>
      <c r="D11" s="13"/>
      <c r="E11" s="14"/>
    </row>
    <row r="12" spans="1:5" ht="29.4" customHeight="1" x14ac:dyDescent="0.25">
      <c r="A12" s="11" t="s">
        <v>93</v>
      </c>
      <c r="B12" s="12">
        <f>SUM(B13:B14)</f>
        <v>0</v>
      </c>
      <c r="C12" s="12">
        <f>SUM(C13:C14)</f>
        <v>0</v>
      </c>
      <c r="D12" s="13"/>
      <c r="E12" s="14"/>
    </row>
    <row r="13" spans="1:5" ht="37.200000000000003" customHeight="1" x14ac:dyDescent="0.25">
      <c r="A13" s="14" t="s">
        <v>94</v>
      </c>
      <c r="B13" s="16"/>
      <c r="C13" s="16"/>
      <c r="D13" s="13"/>
      <c r="E13" s="14"/>
    </row>
    <row r="14" spans="1:5" ht="45" x14ac:dyDescent="0.25">
      <c r="A14" s="14" t="s">
        <v>96</v>
      </c>
      <c r="B14" s="16"/>
      <c r="C14" s="16"/>
      <c r="D14" s="13" t="s">
        <v>849</v>
      </c>
      <c r="E14" s="260" t="s">
        <v>846</v>
      </c>
    </row>
    <row r="15" spans="1:5" ht="45" x14ac:dyDescent="0.25">
      <c r="A15" s="11" t="s">
        <v>97</v>
      </c>
      <c r="B15" s="12">
        <v>0</v>
      </c>
      <c r="C15" s="12">
        <v>0</v>
      </c>
      <c r="D15" s="13"/>
      <c r="E15" s="14"/>
    </row>
    <row r="16" spans="1:5" ht="30" x14ac:dyDescent="0.25">
      <c r="A16" s="11" t="s">
        <v>98</v>
      </c>
      <c r="B16" s="12">
        <f>SUM(B17:B18)</f>
        <v>2331603917836.3159</v>
      </c>
      <c r="C16" s="12">
        <f>SUM(C17:C18)</f>
        <v>31374102590.864059</v>
      </c>
      <c r="E16" s="14"/>
    </row>
    <row r="17" spans="1:24" ht="45" x14ac:dyDescent="0.25">
      <c r="A17" s="13" t="s">
        <v>99</v>
      </c>
      <c r="B17" s="261">
        <f>150*10^9</f>
        <v>150000000000</v>
      </c>
      <c r="C17" s="16">
        <f>B17/B36</f>
        <v>2018402590.8640583</v>
      </c>
      <c r="D17" s="13" t="s">
        <v>850</v>
      </c>
      <c r="E17" s="260" t="s">
        <v>846</v>
      </c>
    </row>
    <row r="18" spans="1:24" ht="168" customHeight="1" x14ac:dyDescent="0.25">
      <c r="A18" s="13" t="s">
        <v>101</v>
      </c>
      <c r="B18" s="261">
        <f>C18*B36</f>
        <v>2181603917836.3159</v>
      </c>
      <c r="C18" s="261">
        <f>(C37*0.008)+(C37*0.002)</f>
        <v>29355700000</v>
      </c>
      <c r="D18" s="13" t="s">
        <v>851</v>
      </c>
      <c r="E18" s="260" t="s">
        <v>846</v>
      </c>
    </row>
    <row r="19" spans="1:24" ht="30" x14ac:dyDescent="0.25">
      <c r="A19" s="11" t="s">
        <v>103</v>
      </c>
      <c r="B19" s="12">
        <v>0</v>
      </c>
      <c r="C19" s="12">
        <v>0</v>
      </c>
      <c r="D19" s="13"/>
      <c r="E19" s="21"/>
    </row>
    <row r="20" spans="1:24" x14ac:dyDescent="0.25">
      <c r="A20" s="14" t="s">
        <v>104</v>
      </c>
      <c r="B20" s="16"/>
      <c r="C20" s="16"/>
      <c r="D20" s="13"/>
      <c r="E20" s="21"/>
    </row>
    <row r="21" spans="1:24" ht="30" x14ac:dyDescent="0.25">
      <c r="A21" s="22" t="s">
        <v>105</v>
      </c>
      <c r="B21" s="12">
        <f>SUM(B22,B24)</f>
        <v>0</v>
      </c>
      <c r="C21" s="12">
        <f>SUM(C22,C24)</f>
        <v>0</v>
      </c>
      <c r="D21" s="13"/>
      <c r="E21" s="14"/>
    </row>
    <row r="22" spans="1:24" x14ac:dyDescent="0.25">
      <c r="A22" s="22" t="s">
        <v>108</v>
      </c>
      <c r="B22" s="16"/>
      <c r="C22" s="16"/>
      <c r="D22" s="13"/>
      <c r="E22" s="14"/>
    </row>
    <row r="23" spans="1:24" x14ac:dyDescent="0.25">
      <c r="A23" s="13" t="s">
        <v>109</v>
      </c>
      <c r="B23" s="16"/>
      <c r="C23" s="16"/>
      <c r="D23" s="13"/>
      <c r="E23" s="14"/>
    </row>
    <row r="24" spans="1:24" x14ac:dyDescent="0.25">
      <c r="A24" s="22" t="s">
        <v>110</v>
      </c>
      <c r="B24" s="16"/>
      <c r="C24" s="16"/>
      <c r="D24" s="13"/>
      <c r="E24" s="14"/>
    </row>
    <row r="25" spans="1:24" x14ac:dyDescent="0.25">
      <c r="A25" s="13" t="s">
        <v>109</v>
      </c>
      <c r="B25" s="16"/>
      <c r="C25" s="16"/>
      <c r="D25" s="13"/>
      <c r="E25" s="14"/>
    </row>
    <row r="26" spans="1:24" x14ac:dyDescent="0.25">
      <c r="A26" s="22" t="s">
        <v>111</v>
      </c>
      <c r="B26" s="12">
        <f>SUM(B27:B29)</f>
        <v>297264778.94736844</v>
      </c>
      <c r="C26" s="12">
        <f>SUM(C27:C29)</f>
        <v>4000000</v>
      </c>
      <c r="D26" s="13"/>
      <c r="E26" s="14"/>
    </row>
    <row r="27" spans="1:24" ht="45" x14ac:dyDescent="0.25">
      <c r="A27" s="13" t="s">
        <v>112</v>
      </c>
      <c r="B27" s="16"/>
      <c r="C27" s="16"/>
      <c r="D27" s="13" t="s">
        <v>852</v>
      </c>
      <c r="E27" s="260" t="s">
        <v>846</v>
      </c>
      <c r="H27" s="262"/>
    </row>
    <row r="28" spans="1:24" ht="15.6" customHeight="1" x14ac:dyDescent="0.25">
      <c r="A28" s="13" t="s">
        <v>115</v>
      </c>
      <c r="B28" s="16"/>
      <c r="C28" s="16"/>
      <c r="D28" s="13"/>
      <c r="E28" s="14"/>
      <c r="F28" s="166"/>
      <c r="G28" s="166"/>
      <c r="H28" s="166"/>
      <c r="I28" s="166"/>
      <c r="J28" s="166"/>
      <c r="K28" s="166"/>
      <c r="L28" s="166"/>
      <c r="M28" s="166"/>
      <c r="N28" s="166"/>
      <c r="O28" s="166"/>
      <c r="P28" s="166"/>
      <c r="Q28" s="166"/>
      <c r="R28" s="166"/>
      <c r="S28" s="166"/>
      <c r="T28" s="263"/>
      <c r="U28" s="263"/>
      <c r="V28" s="263"/>
      <c r="W28" s="263"/>
      <c r="X28" s="263"/>
    </row>
    <row r="29" spans="1:24" x14ac:dyDescent="0.25">
      <c r="A29" s="13" t="s">
        <v>116</v>
      </c>
      <c r="B29" s="16">
        <f>SUM(B30:B31)</f>
        <v>297264778.94736844</v>
      </c>
      <c r="C29" s="16">
        <f>SUM(C30:C31)</f>
        <v>4000000</v>
      </c>
      <c r="D29" s="13"/>
      <c r="E29" s="14"/>
      <c r="F29" s="166"/>
      <c r="G29" s="166"/>
      <c r="H29" s="166"/>
      <c r="I29" s="166"/>
      <c r="J29" s="166"/>
      <c r="K29" s="166"/>
      <c r="L29" s="166"/>
      <c r="M29" s="166"/>
      <c r="N29" s="166"/>
      <c r="O29" s="166"/>
      <c r="P29" s="166"/>
      <c r="Q29" s="166"/>
      <c r="R29" s="166"/>
      <c r="S29" s="166"/>
      <c r="T29" s="263"/>
      <c r="U29" s="263"/>
      <c r="V29" s="263"/>
      <c r="W29" s="263"/>
      <c r="X29" s="263"/>
    </row>
    <row r="30" spans="1:24" ht="75" x14ac:dyDescent="0.25">
      <c r="A30" s="13" t="s">
        <v>117</v>
      </c>
      <c r="B30" s="16">
        <f>C30*B36</f>
        <v>297264778.94736844</v>
      </c>
      <c r="C30" s="16">
        <f>(2+1+1)*10^6</f>
        <v>4000000</v>
      </c>
      <c r="D30" s="13" t="s">
        <v>853</v>
      </c>
      <c r="E30" s="14" t="s">
        <v>209</v>
      </c>
      <c r="F30" s="166"/>
      <c r="G30" s="166"/>
      <c r="H30" s="166"/>
      <c r="I30" s="166"/>
      <c r="J30" s="166"/>
      <c r="K30" s="166"/>
      <c r="L30" s="166"/>
      <c r="M30" s="166"/>
      <c r="N30" s="166"/>
      <c r="O30" s="166"/>
      <c r="P30" s="166"/>
      <c r="Q30" s="166"/>
      <c r="R30" s="166"/>
      <c r="S30" s="166"/>
      <c r="T30" s="263"/>
      <c r="U30" s="263"/>
      <c r="V30" s="263"/>
      <c r="W30" s="263"/>
      <c r="X30" s="263"/>
    </row>
    <row r="31" spans="1:24" x14ac:dyDescent="0.25">
      <c r="A31" s="13" t="s">
        <v>118</v>
      </c>
      <c r="B31" s="16"/>
      <c r="C31" s="16"/>
      <c r="D31" s="13"/>
      <c r="E31" s="14"/>
      <c r="F31" s="166"/>
      <c r="G31" s="166"/>
      <c r="H31" s="166"/>
      <c r="I31" s="166"/>
      <c r="J31" s="166"/>
      <c r="K31" s="166"/>
      <c r="L31" s="166"/>
      <c r="M31" s="166"/>
      <c r="N31" s="166"/>
      <c r="O31" s="166"/>
      <c r="P31" s="166"/>
      <c r="Q31" s="166"/>
      <c r="R31" s="166"/>
      <c r="S31" s="166"/>
      <c r="T31" s="263"/>
      <c r="U31" s="263"/>
      <c r="V31" s="263"/>
      <c r="W31" s="263"/>
      <c r="X31" s="263"/>
    </row>
    <row r="32" spans="1:24" x14ac:dyDescent="0.25">
      <c r="A32" s="11" t="s">
        <v>119</v>
      </c>
      <c r="B32" s="12">
        <v>0</v>
      </c>
      <c r="C32" s="12">
        <v>0</v>
      </c>
      <c r="D32" s="264"/>
      <c r="E32" s="14"/>
      <c r="F32" s="166"/>
      <c r="G32" s="166"/>
      <c r="H32" s="166"/>
      <c r="I32" s="166"/>
      <c r="J32" s="166"/>
      <c r="K32" s="166"/>
      <c r="L32" s="166"/>
      <c r="M32" s="166"/>
      <c r="N32" s="166"/>
      <c r="O32" s="166"/>
      <c r="P32" s="166"/>
      <c r="Q32" s="166"/>
      <c r="R32" s="166"/>
      <c r="S32" s="166"/>
    </row>
    <row r="33" spans="1:19" x14ac:dyDescent="0.25">
      <c r="A33" s="31"/>
      <c r="B33" s="120"/>
      <c r="C33" s="120"/>
      <c r="D33" s="33"/>
      <c r="E33" s="34"/>
      <c r="H33" s="262"/>
    </row>
    <row r="34" spans="1:19" ht="18" customHeight="1" x14ac:dyDescent="0.25">
      <c r="A34" s="35" t="s">
        <v>120</v>
      </c>
      <c r="B34" s="265">
        <f>(SUM(B5,B8,B12,B15,B16))</f>
        <v>4932765115193.1055</v>
      </c>
      <c r="C34" s="265">
        <f>(SUM(C5,C8,C12,C15,C16))</f>
        <v>66375372590.864059</v>
      </c>
      <c r="D34" s="266"/>
      <c r="F34" s="267"/>
      <c r="G34" s="267"/>
      <c r="H34" s="267"/>
      <c r="I34" s="267"/>
      <c r="J34" s="267"/>
      <c r="K34" s="267"/>
      <c r="L34" s="267"/>
      <c r="M34" s="267"/>
      <c r="N34" s="267"/>
      <c r="O34" s="267"/>
      <c r="P34" s="267"/>
      <c r="Q34" s="267"/>
      <c r="R34" s="267"/>
      <c r="S34" s="267"/>
    </row>
    <row r="35" spans="1:19" x14ac:dyDescent="0.25">
      <c r="A35" s="31"/>
      <c r="B35" s="39"/>
      <c r="C35" s="40"/>
      <c r="D35" s="266"/>
      <c r="F35" s="267"/>
      <c r="G35" s="267"/>
      <c r="H35" s="267"/>
      <c r="I35" s="267"/>
      <c r="J35" s="267"/>
      <c r="K35" s="267"/>
      <c r="L35" s="267"/>
      <c r="M35" s="267"/>
      <c r="N35" s="267"/>
      <c r="O35" s="267"/>
      <c r="P35" s="267"/>
      <c r="Q35" s="267"/>
      <c r="R35" s="267"/>
      <c r="S35" s="267"/>
    </row>
    <row r="36" spans="1:19" x14ac:dyDescent="0.25">
      <c r="A36" s="31" t="s">
        <v>121</v>
      </c>
      <c r="B36" s="268">
        <v>74.316194736842107</v>
      </c>
      <c r="C36" s="42"/>
      <c r="D36" s="266"/>
      <c r="F36" s="267"/>
      <c r="G36" s="267"/>
      <c r="H36" s="267"/>
      <c r="I36" s="267"/>
      <c r="J36" s="267"/>
      <c r="K36" s="267"/>
      <c r="L36" s="267"/>
      <c r="M36" s="267"/>
      <c r="N36" s="267"/>
      <c r="O36" s="267"/>
      <c r="P36" s="267"/>
      <c r="Q36" s="267"/>
      <c r="R36" s="267"/>
      <c r="S36" s="267"/>
    </row>
    <row r="37" spans="1:19" x14ac:dyDescent="0.25">
      <c r="A37" s="43" t="s">
        <v>122</v>
      </c>
      <c r="B37" s="269">
        <f>208984930000000</f>
        <v>208984930000000</v>
      </c>
      <c r="C37" s="269">
        <v>2935570000000</v>
      </c>
      <c r="D37" s="265"/>
      <c r="E37" s="265"/>
      <c r="F37" s="267"/>
      <c r="G37" s="267"/>
      <c r="H37" s="267"/>
      <c r="I37" s="267"/>
      <c r="J37" s="267"/>
      <c r="K37" s="267"/>
      <c r="L37" s="267"/>
      <c r="M37" s="267"/>
      <c r="N37" s="267"/>
      <c r="O37" s="267"/>
      <c r="P37" s="267"/>
      <c r="Q37" s="267"/>
      <c r="R37" s="267"/>
      <c r="S37" s="267"/>
    </row>
    <row r="38" spans="1:19" x14ac:dyDescent="0.25">
      <c r="A38" s="43" t="s">
        <v>123</v>
      </c>
      <c r="B38" s="269">
        <v>1352617328</v>
      </c>
      <c r="C38" s="152"/>
    </row>
    <row r="39" spans="1:19" x14ac:dyDescent="0.25">
      <c r="A39" s="43"/>
      <c r="B39" s="44"/>
      <c r="C39" s="44"/>
    </row>
    <row r="40" spans="1:19" x14ac:dyDescent="0.25">
      <c r="A40" s="5"/>
      <c r="B40" s="46" t="s">
        <v>854</v>
      </c>
      <c r="C40" s="47" t="s">
        <v>125</v>
      </c>
    </row>
    <row r="41" spans="1:19" x14ac:dyDescent="0.25">
      <c r="A41" s="43" t="s">
        <v>126</v>
      </c>
      <c r="B41" s="269">
        <f>$B37/$B38</f>
        <v>154504.10524387428</v>
      </c>
      <c r="C41" s="269">
        <f>$C37/B38</f>
        <v>2170.288624307791</v>
      </c>
    </row>
    <row r="42" spans="1:19" x14ac:dyDescent="0.25">
      <c r="A42" s="43" t="s">
        <v>127</v>
      </c>
      <c r="B42" s="268">
        <f>($B34/$B37)*100</f>
        <v>2.3603448895540486</v>
      </c>
      <c r="C42" s="96"/>
    </row>
    <row r="43" spans="1:19" x14ac:dyDescent="0.25">
      <c r="A43" s="43" t="s">
        <v>128</v>
      </c>
      <c r="B43" s="268">
        <f>B34/B38</f>
        <v>3646.8297522749949</v>
      </c>
      <c r="C43" s="268">
        <f>C34/B38</f>
        <v>49.07180413621321</v>
      </c>
    </row>
    <row r="44" spans="1:19" x14ac:dyDescent="0.25">
      <c r="A44" s="43"/>
      <c r="B44" s="50"/>
      <c r="C44" s="50"/>
    </row>
    <row r="45" spans="1:19" x14ac:dyDescent="0.25">
      <c r="A45" s="335" t="s">
        <v>1057</v>
      </c>
      <c r="B45" s="50"/>
      <c r="C45" s="50"/>
    </row>
    <row r="46" spans="1:19" x14ac:dyDescent="0.25">
      <c r="A46" s="43"/>
      <c r="B46" s="50"/>
      <c r="C46" s="50"/>
    </row>
    <row r="47" spans="1:19" x14ac:dyDescent="0.25">
      <c r="A47" s="43"/>
      <c r="B47" s="51"/>
    </row>
    <row r="48" spans="1:19" x14ac:dyDescent="0.25">
      <c r="A48" s="43" t="s">
        <v>129</v>
      </c>
    </row>
    <row r="49" spans="1:5" x14ac:dyDescent="0.25">
      <c r="A49" s="5" t="s">
        <v>1097</v>
      </c>
    </row>
    <row r="50" spans="1:5" ht="15.45" customHeight="1" x14ac:dyDescent="0.25">
      <c r="A50" s="18" t="s">
        <v>710</v>
      </c>
      <c r="B50" s="138"/>
      <c r="C50" s="138"/>
      <c r="D50" s="139"/>
    </row>
    <row r="51" spans="1:5" s="37" customFormat="1" ht="15.45" customHeight="1" x14ac:dyDescent="0.25">
      <c r="B51" s="139"/>
      <c r="C51" s="139"/>
      <c r="D51" s="139"/>
      <c r="E51" s="70"/>
    </row>
    <row r="52" spans="1:5" x14ac:dyDescent="0.25">
      <c r="A52" s="43" t="s">
        <v>131</v>
      </c>
    </row>
    <row r="53" spans="1:5" x14ac:dyDescent="0.25">
      <c r="A53" s="37" t="s">
        <v>1098</v>
      </c>
      <c r="B53" s="37"/>
      <c r="C53" s="37"/>
      <c r="E53" s="37"/>
    </row>
    <row r="54" spans="1:5" x14ac:dyDescent="0.25">
      <c r="A54" s="37" t="s">
        <v>1099</v>
      </c>
      <c r="B54" s="37"/>
      <c r="C54" s="37"/>
      <c r="E54" s="37"/>
    </row>
    <row r="55" spans="1:5" x14ac:dyDescent="0.25">
      <c r="A55" s="37" t="s">
        <v>1100</v>
      </c>
      <c r="B55" s="37"/>
      <c r="C55" s="37"/>
      <c r="E55" s="37"/>
    </row>
    <row r="56" spans="1:5" ht="15" customHeight="1" x14ac:dyDescent="0.25">
      <c r="A56" s="367" t="s">
        <v>1101</v>
      </c>
      <c r="B56" s="367"/>
      <c r="C56" s="367"/>
      <c r="D56" s="367"/>
      <c r="E56" s="367"/>
    </row>
    <row r="57" spans="1:5" s="38" customFormat="1" x14ac:dyDescent="0.25">
      <c r="A57" s="37" t="s">
        <v>648</v>
      </c>
      <c r="D57" s="37"/>
    </row>
    <row r="58" spans="1:5" s="38" customFormat="1" x14ac:dyDescent="0.25">
      <c r="A58" s="5"/>
      <c r="D58" s="37"/>
    </row>
    <row r="59" spans="1:5" s="38" customFormat="1" x14ac:dyDescent="0.25">
      <c r="A59" s="5"/>
      <c r="D59" s="37"/>
    </row>
    <row r="60" spans="1:5" s="38" customFormat="1" x14ac:dyDescent="0.3">
      <c r="A60" s="364" t="s">
        <v>1060</v>
      </c>
      <c r="B60" s="364"/>
      <c r="C60" s="364"/>
      <c r="D60" s="364"/>
      <c r="E60" s="364"/>
    </row>
    <row r="61" spans="1:5" s="38" customFormat="1" x14ac:dyDescent="0.3">
      <c r="A61" s="364"/>
      <c r="B61" s="364"/>
      <c r="C61" s="364"/>
      <c r="D61" s="364"/>
      <c r="E61" s="364"/>
    </row>
    <row r="62" spans="1:5" s="38" customFormat="1" x14ac:dyDescent="0.25">
      <c r="A62" s="5"/>
      <c r="D62" s="37"/>
    </row>
    <row r="63" spans="1:5" s="38" customFormat="1" x14ac:dyDescent="0.25">
      <c r="A63" s="5"/>
      <c r="D63" s="37"/>
    </row>
    <row r="64" spans="1:5" s="38" customFormat="1" x14ac:dyDescent="0.25">
      <c r="A64" s="5"/>
      <c r="D64" s="37"/>
    </row>
    <row r="65" spans="1:4" s="38" customFormat="1" x14ac:dyDescent="0.25">
      <c r="A65" s="5"/>
      <c r="D65" s="37"/>
    </row>
    <row r="66" spans="1:4" s="38" customFormat="1" x14ac:dyDescent="0.25">
      <c r="A66" s="5"/>
      <c r="D66" s="37"/>
    </row>
    <row r="67" spans="1:4" s="38" customFormat="1" x14ac:dyDescent="0.25">
      <c r="A67" s="5"/>
      <c r="D67" s="37"/>
    </row>
    <row r="68" spans="1:4" s="38" customFormat="1" x14ac:dyDescent="0.25">
      <c r="A68" s="5"/>
      <c r="D68" s="37"/>
    </row>
    <row r="69" spans="1:4" s="38" customFormat="1" x14ac:dyDescent="0.25">
      <c r="A69" s="5"/>
      <c r="D69" s="37"/>
    </row>
    <row r="70" spans="1:4" s="38" customFormat="1" x14ac:dyDescent="0.25">
      <c r="A70" s="5"/>
      <c r="D70" s="37"/>
    </row>
  </sheetData>
  <sheetProtection formatCells="0" formatColumns="0" formatRows="0" insertColumns="0" insertRows="0" insertHyperlinks="0" deleteColumns="0" deleteRows="0" sort="0" autoFilter="0" pivotTables="0"/>
  <mergeCells count="2">
    <mergeCell ref="A60:E61"/>
    <mergeCell ref="A56:E56"/>
  </mergeCells>
  <hyperlinks>
    <hyperlink ref="A2" location="Index!E43" display="[Back to Index]" xr:uid="{961254D0-FB60-4AC0-A775-6E0260E12D50}"/>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CD100-1B90-47F9-B0A0-3020CBB7BB1D}">
  <sheetPr codeName="Sheet45">
    <tabColor theme="6" tint="0.59999389629810485"/>
  </sheetPr>
  <dimension ref="A1:E61"/>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64</v>
      </c>
      <c r="B1" s="2" t="s">
        <v>73</v>
      </c>
      <c r="C1" s="80">
        <v>6.7869440000000001</v>
      </c>
      <c r="D1" s="4" t="s">
        <v>1045</v>
      </c>
    </row>
    <row r="2" spans="1:5" s="5" customFormat="1" x14ac:dyDescent="0.25">
      <c r="A2" s="324" t="s">
        <v>74</v>
      </c>
      <c r="C2" s="80">
        <v>0</v>
      </c>
      <c r="D2" s="4" t="s">
        <v>1046</v>
      </c>
    </row>
    <row r="3" spans="1:5" x14ac:dyDescent="0.25">
      <c r="A3" s="154"/>
      <c r="B3" s="222"/>
      <c r="C3" s="142"/>
    </row>
    <row r="4" spans="1:5" s="10" customFormat="1" x14ac:dyDescent="0.3">
      <c r="A4" s="8" t="s">
        <v>75</v>
      </c>
      <c r="B4" s="9" t="s">
        <v>780</v>
      </c>
      <c r="C4" s="9" t="s">
        <v>77</v>
      </c>
      <c r="D4" s="9" t="s">
        <v>78</v>
      </c>
      <c r="E4" s="8" t="s">
        <v>79</v>
      </c>
    </row>
    <row r="5" spans="1:5" s="15" customFormat="1" ht="60" x14ac:dyDescent="0.25">
      <c r="A5" s="11" t="s">
        <v>80</v>
      </c>
      <c r="B5" s="12">
        <f>SUM(B6:B7)</f>
        <v>0</v>
      </c>
      <c r="C5" s="12">
        <f>SUM(C6:C7)</f>
        <v>0</v>
      </c>
      <c r="D5" s="13"/>
      <c r="E5" s="14"/>
    </row>
    <row r="6" spans="1:5" s="15" customFormat="1" ht="60" x14ac:dyDescent="0.25">
      <c r="A6" s="14" t="s">
        <v>81</v>
      </c>
      <c r="B6" s="16"/>
      <c r="C6" s="16"/>
      <c r="D6" s="13" t="s">
        <v>781</v>
      </c>
      <c r="E6" s="14" t="s">
        <v>205</v>
      </c>
    </row>
    <row r="7" spans="1:5" s="15" customFormat="1" ht="75" x14ac:dyDescent="0.25">
      <c r="A7" s="14" t="s">
        <v>84</v>
      </c>
      <c r="B7" s="17"/>
      <c r="C7" s="17"/>
      <c r="D7" s="13" t="s">
        <v>782</v>
      </c>
      <c r="E7" s="14" t="s">
        <v>205</v>
      </c>
    </row>
    <row r="8" spans="1:5" ht="30" x14ac:dyDescent="0.25">
      <c r="A8" s="11" t="s">
        <v>87</v>
      </c>
      <c r="B8" s="12">
        <f>SUM(B9:B11)</f>
        <v>0</v>
      </c>
      <c r="C8" s="12">
        <f>SUM(C9:C11)</f>
        <v>0</v>
      </c>
      <c r="D8" s="13"/>
      <c r="E8" s="14"/>
    </row>
    <row r="9" spans="1:5" ht="60" x14ac:dyDescent="0.25">
      <c r="A9" s="14" t="s">
        <v>88</v>
      </c>
      <c r="B9" s="16"/>
      <c r="C9" s="16"/>
      <c r="D9" s="13"/>
      <c r="E9" s="14"/>
    </row>
    <row r="10" spans="1:5" ht="45" x14ac:dyDescent="0.25">
      <c r="A10" s="14" t="s">
        <v>90</v>
      </c>
      <c r="B10" s="16"/>
      <c r="C10" s="16"/>
      <c r="D10" s="56"/>
      <c r="E10" s="14"/>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ht="60" x14ac:dyDescent="0.25">
      <c r="A14" s="14" t="s">
        <v>96</v>
      </c>
      <c r="B14" s="16"/>
      <c r="C14" s="16"/>
      <c r="D14" s="13" t="s">
        <v>783</v>
      </c>
      <c r="E14" s="14" t="s">
        <v>205</v>
      </c>
    </row>
    <row r="15" spans="1:5" ht="45" x14ac:dyDescent="0.25">
      <c r="A15" s="11" t="s">
        <v>97</v>
      </c>
      <c r="B15" s="12"/>
      <c r="C15" s="12"/>
      <c r="D15" s="13"/>
      <c r="E15" s="14"/>
    </row>
    <row r="16" spans="1:5" ht="90" x14ac:dyDescent="0.25">
      <c r="A16" s="11" t="s">
        <v>98</v>
      </c>
      <c r="B16" s="12">
        <f>2.5*10^9</f>
        <v>2500000000</v>
      </c>
      <c r="C16" s="12">
        <f>B16/$B$36</f>
        <v>162665105.08165789</v>
      </c>
      <c r="D16" s="13" t="s">
        <v>784</v>
      </c>
      <c r="E16" s="14" t="s">
        <v>205</v>
      </c>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2578918200</v>
      </c>
      <c r="C26" s="12">
        <f>SUM(C27:C29)</f>
        <v>167800000</v>
      </c>
      <c r="D26" s="13"/>
      <c r="E26" s="14"/>
    </row>
    <row r="27" spans="1:5" ht="60" x14ac:dyDescent="0.25">
      <c r="A27" s="13" t="s">
        <v>112</v>
      </c>
      <c r="B27" s="16">
        <f>C27*$B$36</f>
        <v>2305350000</v>
      </c>
      <c r="C27" s="16">
        <f>150*10^6</f>
        <v>150000000</v>
      </c>
      <c r="D27" s="13" t="s">
        <v>785</v>
      </c>
      <c r="E27" s="14" t="s">
        <v>786</v>
      </c>
    </row>
    <row r="28" spans="1:5" x14ac:dyDescent="0.25">
      <c r="A28" s="13" t="s">
        <v>115</v>
      </c>
      <c r="B28" s="16"/>
      <c r="C28" s="16"/>
      <c r="D28" s="13"/>
      <c r="E28" s="14"/>
    </row>
    <row r="29" spans="1:5" x14ac:dyDescent="0.25">
      <c r="A29" s="13" t="s">
        <v>116</v>
      </c>
      <c r="B29" s="16">
        <f>SUM(B30:B31)</f>
        <v>273568200</v>
      </c>
      <c r="C29" s="16">
        <f>SUM(C30:C31)</f>
        <v>17800000</v>
      </c>
      <c r="D29" s="13"/>
      <c r="E29" s="14"/>
    </row>
    <row r="30" spans="1:5" x14ac:dyDescent="0.25">
      <c r="A30" s="13" t="s">
        <v>117</v>
      </c>
      <c r="B30" s="16">
        <f>C30*$B$36</f>
        <v>7684500</v>
      </c>
      <c r="C30" s="16">
        <f>0.5*10^6</f>
        <v>500000</v>
      </c>
      <c r="D30" s="83" t="s">
        <v>787</v>
      </c>
      <c r="E30" s="24" t="s">
        <v>209</v>
      </c>
    </row>
    <row r="31" spans="1:5" ht="90" x14ac:dyDescent="0.25">
      <c r="A31" s="13" t="s">
        <v>118</v>
      </c>
      <c r="B31" s="19">
        <f>C31*$B$36</f>
        <v>265883700</v>
      </c>
      <c r="C31" s="19">
        <f>(7.3+10)*10^6</f>
        <v>17300000</v>
      </c>
      <c r="D31" s="13" t="s">
        <v>788</v>
      </c>
      <c r="E31" s="14" t="s">
        <v>789</v>
      </c>
    </row>
    <row r="32" spans="1:5" x14ac:dyDescent="0.25">
      <c r="A32" s="11" t="s">
        <v>119</v>
      </c>
      <c r="B32" s="30"/>
      <c r="C32" s="12"/>
      <c r="D32" s="13"/>
      <c r="E32" s="14"/>
    </row>
    <row r="33" spans="1:5" x14ac:dyDescent="0.25">
      <c r="A33" s="31"/>
      <c r="B33" s="219"/>
      <c r="C33" s="219"/>
      <c r="D33" s="33"/>
      <c r="E33" s="34"/>
    </row>
    <row r="34" spans="1:5" x14ac:dyDescent="0.25">
      <c r="A34" s="35" t="s">
        <v>120</v>
      </c>
      <c r="B34" s="39">
        <f>SUM(B5,B8,B12,B15,B16)</f>
        <v>2500000000</v>
      </c>
      <c r="C34" s="39">
        <f>SUM(C5,C8,C12,C15,C16)</f>
        <v>162665105.08165789</v>
      </c>
    </row>
    <row r="35" spans="1:5" x14ac:dyDescent="0.25">
      <c r="A35" s="31"/>
      <c r="B35" s="39"/>
      <c r="C35" s="40"/>
    </row>
    <row r="36" spans="1:5" x14ac:dyDescent="0.25">
      <c r="A36" s="31" t="s">
        <v>121</v>
      </c>
      <c r="B36" s="88">
        <v>15.369</v>
      </c>
      <c r="C36" s="42"/>
    </row>
    <row r="37" spans="1:5" x14ac:dyDescent="0.25">
      <c r="A37" s="43" t="s">
        <v>122</v>
      </c>
      <c r="B37" s="45">
        <v>89158000000</v>
      </c>
      <c r="C37" s="45">
        <v>5786000000</v>
      </c>
    </row>
    <row r="38" spans="1:5" x14ac:dyDescent="0.25">
      <c r="A38" s="43" t="s">
        <v>123</v>
      </c>
      <c r="B38" s="45">
        <v>515696</v>
      </c>
      <c r="C38" s="45"/>
    </row>
    <row r="39" spans="1:5" x14ac:dyDescent="0.25">
      <c r="A39" s="43"/>
      <c r="B39" s="44"/>
      <c r="C39" s="44"/>
    </row>
    <row r="40" spans="1:5" x14ac:dyDescent="0.25">
      <c r="A40" s="5"/>
      <c r="B40" s="46" t="s">
        <v>790</v>
      </c>
      <c r="C40" s="47" t="s">
        <v>125</v>
      </c>
    </row>
    <row r="41" spans="1:5" x14ac:dyDescent="0.25">
      <c r="A41" s="43" t="s">
        <v>126</v>
      </c>
      <c r="B41" s="48">
        <f>$B37/$B$38</f>
        <v>172888.67860134653</v>
      </c>
      <c r="C41" s="48">
        <f>$C37/$B$38</f>
        <v>11219.788402469672</v>
      </c>
    </row>
    <row r="42" spans="1:5" x14ac:dyDescent="0.25">
      <c r="A42" s="43" t="s">
        <v>127</v>
      </c>
      <c r="B42" s="49">
        <f>($B34/$B37)*100</f>
        <v>2.8040108571300388</v>
      </c>
      <c r="C42" s="49"/>
    </row>
    <row r="43" spans="1:5" x14ac:dyDescent="0.25">
      <c r="A43" s="43" t="s">
        <v>128</v>
      </c>
      <c r="B43" s="50">
        <f>$B34/$B$38</f>
        <v>4847.8173187304146</v>
      </c>
      <c r="C43" s="50">
        <f>$C34/$B$38</f>
        <v>315.42828542718559</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s="37" customFormat="1" ht="15.6" customHeight="1" x14ac:dyDescent="0.25">
      <c r="A49" s="52" t="s">
        <v>791</v>
      </c>
      <c r="B49" s="53"/>
      <c r="C49" s="53"/>
      <c r="D49" s="53"/>
      <c r="E49" s="53"/>
    </row>
    <row r="50" spans="1:5" ht="15.6" customHeight="1" x14ac:dyDescent="0.25">
      <c r="A50" s="5" t="s">
        <v>772</v>
      </c>
      <c r="B50" s="53"/>
      <c r="C50" s="53"/>
      <c r="D50" s="53"/>
      <c r="E50" s="53"/>
    </row>
    <row r="51" spans="1:5" ht="15.6" customHeight="1" x14ac:dyDescent="0.25">
      <c r="A51" s="53"/>
      <c r="B51" s="53"/>
      <c r="C51" s="53"/>
      <c r="D51" s="53"/>
      <c r="E51" s="53"/>
    </row>
    <row r="53" spans="1:5" x14ac:dyDescent="0.25">
      <c r="A53" s="43" t="s">
        <v>131</v>
      </c>
    </row>
    <row r="54" spans="1:5" s="38" customFormat="1" x14ac:dyDescent="0.3">
      <c r="A54" s="230" t="s">
        <v>792</v>
      </c>
      <c r="B54" s="55"/>
      <c r="C54" s="55"/>
      <c r="D54" s="55"/>
      <c r="E54" s="55"/>
    </row>
    <row r="55" spans="1:5" s="38" customFormat="1" x14ac:dyDescent="0.3">
      <c r="A55" s="365" t="s">
        <v>793</v>
      </c>
      <c r="B55" s="365"/>
      <c r="C55" s="365"/>
      <c r="D55" s="365"/>
      <c r="E55" s="365"/>
    </row>
    <row r="56" spans="1:5" s="38" customFormat="1" x14ac:dyDescent="0.3">
      <c r="A56" s="365"/>
      <c r="B56" s="365"/>
      <c r="C56" s="365"/>
      <c r="D56" s="365"/>
      <c r="E56" s="365"/>
    </row>
    <row r="57" spans="1:5" s="38" customFormat="1" x14ac:dyDescent="0.25">
      <c r="A57" s="5" t="s">
        <v>772</v>
      </c>
      <c r="D57" s="37"/>
    </row>
    <row r="58" spans="1:5" s="38" customFormat="1" x14ac:dyDescent="0.25">
      <c r="D58" s="37"/>
    </row>
    <row r="60" spans="1:5" x14ac:dyDescent="0.25">
      <c r="A60" s="364" t="s">
        <v>1060</v>
      </c>
      <c r="B60" s="364"/>
      <c r="C60" s="364"/>
      <c r="D60" s="364"/>
      <c r="E60" s="364"/>
    </row>
    <row r="61" spans="1:5" x14ac:dyDescent="0.25">
      <c r="A61" s="364"/>
      <c r="B61" s="364"/>
      <c r="C61" s="364"/>
      <c r="D61" s="364"/>
      <c r="E61" s="364"/>
    </row>
  </sheetData>
  <sheetProtection algorithmName="SHA-512" hashValue="vI6S8fKP2DfNMjHPbF24VPTM+Au5xZVsnodgOd11m/ysZBeVEFWaFdAE8lm14SGuHaycVCShCyf26r1aptYaiA==" saltValue="xkSHKwvHS/sXHFlQVOl5zA==" spinCount="100000" sheet="1" formatCells="0" formatColumns="0" formatRows="0" insertColumns="0" insertRows="0" insertHyperlinks="0" deleteColumns="0" deleteRows="0" sort="0" autoFilter="0" pivotTables="0"/>
  <mergeCells count="2">
    <mergeCell ref="A55:E56"/>
    <mergeCell ref="A60:E61"/>
  </mergeCells>
  <hyperlinks>
    <hyperlink ref="A2" location="Index!E44" display="[Back to Index]" xr:uid="{91FC066A-5FAE-475A-BC8F-6F5F45695560}"/>
  </hyperlinks>
  <pageMargins left="0.7" right="0.7" top="0.75" bottom="0.75" header="0.3" footer="0.3"/>
  <pageSetup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9CC5-15F3-44B5-8C05-3FEC39F2AEAF}">
  <sheetPr codeName="Sheet46">
    <tabColor theme="6" tint="0.59999389629810485"/>
  </sheetPr>
  <dimension ref="A1:E61"/>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2" width="27.5546875" style="70" customWidth="1"/>
    <col min="3" max="3" width="27.77734375" style="70" customWidth="1"/>
    <col min="4" max="4" width="95.77734375" style="37" customWidth="1"/>
    <col min="5" max="5" width="40.77734375" style="70" customWidth="1"/>
    <col min="6" max="16384" width="8.77734375" style="37"/>
  </cols>
  <sheetData>
    <row r="1" spans="1:5" s="7" customFormat="1" ht="17.399999999999999" x14ac:dyDescent="0.25">
      <c r="A1" s="112" t="s">
        <v>67</v>
      </c>
      <c r="B1" s="2" t="s">
        <v>73</v>
      </c>
      <c r="C1" s="84">
        <v>0.1103679</v>
      </c>
      <c r="D1" s="4" t="s">
        <v>1045</v>
      </c>
    </row>
    <row r="2" spans="1:5" s="7" customFormat="1" x14ac:dyDescent="0.25">
      <c r="A2" s="324" t="s">
        <v>74</v>
      </c>
      <c r="C2" s="84">
        <v>0</v>
      </c>
      <c r="D2" s="4" t="s">
        <v>1046</v>
      </c>
    </row>
    <row r="3" spans="1:5" x14ac:dyDescent="0.25">
      <c r="A3" s="35"/>
      <c r="B3" s="174"/>
      <c r="C3" s="175"/>
    </row>
    <row r="4" spans="1:5" s="62" customFormat="1" x14ac:dyDescent="0.3">
      <c r="A4" s="9" t="s">
        <v>75</v>
      </c>
      <c r="B4" s="9" t="s">
        <v>563</v>
      </c>
      <c r="C4" s="9" t="s">
        <v>77</v>
      </c>
      <c r="D4" s="9" t="s">
        <v>78</v>
      </c>
      <c r="E4" s="9" t="s">
        <v>79</v>
      </c>
    </row>
    <row r="5" spans="1:5" s="63" customFormat="1" ht="60" x14ac:dyDescent="0.25">
      <c r="A5" s="22" t="s">
        <v>80</v>
      </c>
      <c r="B5" s="200">
        <f>SUM(B6:B7)</f>
        <v>0</v>
      </c>
      <c r="C5" s="200">
        <f>SUM(C6:C7)</f>
        <v>0</v>
      </c>
      <c r="D5" s="13"/>
      <c r="E5" s="13"/>
    </row>
    <row r="6" spans="1:5" s="63" customFormat="1" ht="45" x14ac:dyDescent="0.25">
      <c r="A6" s="13" t="s">
        <v>81</v>
      </c>
      <c r="B6" s="201"/>
      <c r="C6" s="201"/>
      <c r="D6" s="13"/>
      <c r="E6" s="13"/>
    </row>
    <row r="7" spans="1:5" s="63" customFormat="1" ht="66" customHeight="1" x14ac:dyDescent="0.25">
      <c r="A7" s="13" t="s">
        <v>84</v>
      </c>
      <c r="B7" s="202"/>
      <c r="C7" s="202"/>
      <c r="D7" s="13" t="s">
        <v>564</v>
      </c>
      <c r="E7" s="13" t="s">
        <v>175</v>
      </c>
    </row>
    <row r="8" spans="1:5" ht="30" x14ac:dyDescent="0.25">
      <c r="A8" s="22" t="s">
        <v>87</v>
      </c>
      <c r="B8" s="200">
        <f>SUM(B9:B11)</f>
        <v>0</v>
      </c>
      <c r="C8" s="200">
        <f>SUM(C9:C11)</f>
        <v>0</v>
      </c>
      <c r="D8" s="13"/>
      <c r="E8" s="13"/>
    </row>
    <row r="9" spans="1:5" ht="55.8" customHeight="1" x14ac:dyDescent="0.25">
      <c r="A9" s="13" t="s">
        <v>166</v>
      </c>
      <c r="B9" s="201"/>
      <c r="C9" s="201"/>
      <c r="D9" s="13" t="s">
        <v>565</v>
      </c>
      <c r="E9" s="13" t="s">
        <v>175</v>
      </c>
    </row>
    <row r="10" spans="1:5" ht="88.2" customHeight="1" x14ac:dyDescent="0.25">
      <c r="A10" s="13" t="s">
        <v>90</v>
      </c>
      <c r="B10" s="201"/>
      <c r="C10" s="201"/>
      <c r="D10" s="13" t="s">
        <v>566</v>
      </c>
      <c r="E10" s="13" t="s">
        <v>175</v>
      </c>
    </row>
    <row r="11" spans="1:5" x14ac:dyDescent="0.25">
      <c r="A11" s="13" t="s">
        <v>92</v>
      </c>
      <c r="B11" s="201"/>
      <c r="C11" s="201"/>
      <c r="D11" s="13"/>
      <c r="E11" s="13"/>
    </row>
    <row r="12" spans="1:5" ht="45" x14ac:dyDescent="0.25">
      <c r="A12" s="22" t="s">
        <v>93</v>
      </c>
      <c r="B12" s="200">
        <f>SUM(B13:B14)</f>
        <v>0</v>
      </c>
      <c r="C12" s="200">
        <f>SUM(C13:C14)</f>
        <v>0</v>
      </c>
      <c r="D12" s="13"/>
      <c r="E12" s="13"/>
    </row>
    <row r="13" spans="1:5" ht="45" x14ac:dyDescent="0.25">
      <c r="A13" s="13" t="s">
        <v>171</v>
      </c>
      <c r="B13" s="201"/>
      <c r="C13" s="201"/>
      <c r="D13" s="13"/>
      <c r="E13" s="13"/>
    </row>
    <row r="14" spans="1:5" x14ac:dyDescent="0.25">
      <c r="A14" s="13" t="s">
        <v>96</v>
      </c>
      <c r="B14" s="201"/>
      <c r="C14" s="201"/>
      <c r="D14" s="13"/>
      <c r="E14" s="13"/>
    </row>
    <row r="15" spans="1:5" ht="45" x14ac:dyDescent="0.25">
      <c r="A15" s="22" t="s">
        <v>97</v>
      </c>
      <c r="B15" s="200"/>
      <c r="C15" s="200"/>
      <c r="D15" s="13"/>
      <c r="E15" s="13"/>
    </row>
    <row r="16" spans="1:5" ht="30" x14ac:dyDescent="0.25">
      <c r="A16" s="22" t="s">
        <v>98</v>
      </c>
      <c r="B16" s="200">
        <f>SUM(B17:B18)</f>
        <v>0</v>
      </c>
      <c r="C16" s="200">
        <f>SUM(C17:C18)</f>
        <v>0</v>
      </c>
      <c r="D16" s="13"/>
      <c r="E16" s="13"/>
    </row>
    <row r="17" spans="1:5" ht="60" x14ac:dyDescent="0.25">
      <c r="A17" s="13" t="s">
        <v>99</v>
      </c>
      <c r="B17" s="203"/>
      <c r="C17" s="201">
        <f>+B17/$B$36</f>
        <v>0</v>
      </c>
      <c r="D17" s="64" t="s">
        <v>567</v>
      </c>
      <c r="E17" s="13" t="s">
        <v>175</v>
      </c>
    </row>
    <row r="18" spans="1:5" ht="60" x14ac:dyDescent="0.25">
      <c r="A18" s="13" t="s">
        <v>101</v>
      </c>
      <c r="B18" s="201"/>
      <c r="C18" s="201"/>
      <c r="D18" s="13" t="s">
        <v>568</v>
      </c>
      <c r="E18" s="13" t="s">
        <v>175</v>
      </c>
    </row>
    <row r="19" spans="1:5" ht="30" x14ac:dyDescent="0.25">
      <c r="A19" s="22" t="s">
        <v>103</v>
      </c>
      <c r="B19" s="201"/>
      <c r="C19" s="201"/>
      <c r="D19" s="13"/>
      <c r="E19" s="66"/>
    </row>
    <row r="20" spans="1:5" x14ac:dyDescent="0.25">
      <c r="A20" s="13" t="s">
        <v>104</v>
      </c>
      <c r="B20" s="201"/>
      <c r="C20" s="201"/>
      <c r="D20" s="13"/>
      <c r="E20" s="66"/>
    </row>
    <row r="21" spans="1:5" ht="30" x14ac:dyDescent="0.25">
      <c r="A21" s="22" t="s">
        <v>105</v>
      </c>
      <c r="B21" s="200">
        <f>SUM(B22,B24)</f>
        <v>0</v>
      </c>
      <c r="C21" s="200">
        <f>SUM(C22,C24)</f>
        <v>0</v>
      </c>
      <c r="D21" s="13"/>
      <c r="E21" s="13"/>
    </row>
    <row r="22" spans="1:5" x14ac:dyDescent="0.25">
      <c r="A22" s="22" t="s">
        <v>108</v>
      </c>
      <c r="B22" s="201"/>
      <c r="C22" s="201"/>
      <c r="D22" s="13"/>
      <c r="E22" s="13"/>
    </row>
    <row r="23" spans="1:5" x14ac:dyDescent="0.25">
      <c r="A23" s="13" t="s">
        <v>109</v>
      </c>
      <c r="B23" s="201"/>
      <c r="C23" s="201"/>
      <c r="D23" s="13"/>
      <c r="E23" s="13"/>
    </row>
    <row r="24" spans="1:5" x14ac:dyDescent="0.25">
      <c r="A24" s="22" t="s">
        <v>110</v>
      </c>
      <c r="B24" s="201"/>
      <c r="C24" s="201"/>
      <c r="D24" s="13"/>
      <c r="E24" s="13"/>
    </row>
    <row r="25" spans="1:5" x14ac:dyDescent="0.25">
      <c r="A25" s="13" t="s">
        <v>109</v>
      </c>
      <c r="B25" s="204"/>
      <c r="C25" s="204"/>
      <c r="D25" s="13"/>
      <c r="E25" s="13"/>
    </row>
    <row r="26" spans="1:5" x14ac:dyDescent="0.25">
      <c r="A26" s="22" t="s">
        <v>111</v>
      </c>
      <c r="B26" s="20">
        <f>SUM(B27:B29)</f>
        <v>513805193.41563785</v>
      </c>
      <c r="C26" s="20">
        <f>SUM(C27:C29)</f>
        <v>4212208.5048010973</v>
      </c>
      <c r="D26" s="13"/>
      <c r="E26" s="13"/>
    </row>
    <row r="27" spans="1:5" x14ac:dyDescent="0.25">
      <c r="A27" s="13" t="s">
        <v>112</v>
      </c>
      <c r="B27" s="19"/>
      <c r="C27" s="19"/>
      <c r="D27" s="13"/>
      <c r="E27" s="13"/>
    </row>
    <row r="28" spans="1:5" x14ac:dyDescent="0.25">
      <c r="A28" s="13" t="s">
        <v>115</v>
      </c>
      <c r="B28" s="19"/>
      <c r="C28" s="19"/>
      <c r="D28" s="13"/>
      <c r="E28" s="13"/>
    </row>
    <row r="29" spans="1:5" x14ac:dyDescent="0.25">
      <c r="A29" s="13" t="s">
        <v>116</v>
      </c>
      <c r="B29" s="19">
        <f>SUM(B30:B31)</f>
        <v>513805193.41563785</v>
      </c>
      <c r="C29" s="19">
        <f>SUM(C30:C31)</f>
        <v>4212208.5048010973</v>
      </c>
      <c r="D29" s="13"/>
      <c r="E29" s="13"/>
    </row>
    <row r="30" spans="1:5" ht="39" customHeight="1" x14ac:dyDescent="0.25">
      <c r="A30" s="13" t="s">
        <v>117</v>
      </c>
      <c r="B30" s="19">
        <f>+C30*B36</f>
        <v>36594000</v>
      </c>
      <c r="C30" s="19">
        <v>300000</v>
      </c>
      <c r="D30" s="13" t="s">
        <v>569</v>
      </c>
      <c r="E30" s="13" t="s">
        <v>209</v>
      </c>
    </row>
    <row r="31" spans="1:5" ht="30" x14ac:dyDescent="0.25">
      <c r="A31" s="13" t="s">
        <v>118</v>
      </c>
      <c r="B31" s="97">
        <f>+C31*B36</f>
        <v>477211193.41563785</v>
      </c>
      <c r="C31" s="16">
        <f>+(2.852*10^6)/0.729</f>
        <v>3912208.5048010973</v>
      </c>
      <c r="D31" s="13" t="s">
        <v>570</v>
      </c>
      <c r="E31" s="13" t="s">
        <v>549</v>
      </c>
    </row>
    <row r="32" spans="1:5" x14ac:dyDescent="0.25">
      <c r="A32" s="22" t="s">
        <v>119</v>
      </c>
      <c r="B32" s="200">
        <f>SUM(B33,B35)</f>
        <v>0</v>
      </c>
      <c r="C32" s="201">
        <f>+B32/$B$36</f>
        <v>0</v>
      </c>
      <c r="D32" s="13"/>
      <c r="E32" s="13"/>
    </row>
    <row r="33" spans="1:5" x14ac:dyDescent="0.25">
      <c r="A33" s="35"/>
      <c r="B33" s="205"/>
      <c r="C33" s="205"/>
      <c r="D33" s="33"/>
      <c r="E33" s="33"/>
    </row>
    <row r="34" spans="1:5" x14ac:dyDescent="0.25">
      <c r="A34" s="35" t="s">
        <v>120</v>
      </c>
      <c r="B34" s="206">
        <f>SUM(B5,B8,B12,B15,B16)</f>
        <v>0</v>
      </c>
      <c r="C34" s="206">
        <f>SUM(C5,C8,C12,C15,C16)</f>
        <v>0</v>
      </c>
    </row>
    <row r="35" spans="1:5" x14ac:dyDescent="0.25">
      <c r="A35" s="35"/>
      <c r="B35" s="71"/>
      <c r="C35" s="72"/>
    </row>
    <row r="36" spans="1:5" x14ac:dyDescent="0.25">
      <c r="A36" s="35" t="s">
        <v>155</v>
      </c>
      <c r="B36" s="177">
        <v>121.98</v>
      </c>
      <c r="C36" s="74"/>
    </row>
    <row r="37" spans="1:5" x14ac:dyDescent="0.25">
      <c r="A37" s="75" t="s">
        <v>122</v>
      </c>
      <c r="B37" s="179">
        <v>3464320000000</v>
      </c>
      <c r="C37" s="179">
        <v>29813000000</v>
      </c>
    </row>
    <row r="38" spans="1:5" x14ac:dyDescent="0.25">
      <c r="A38" s="75" t="s">
        <v>123</v>
      </c>
      <c r="B38" s="179">
        <v>28087871</v>
      </c>
      <c r="C38" s="162"/>
    </row>
    <row r="39" spans="1:5" x14ac:dyDescent="0.25">
      <c r="A39" s="75"/>
      <c r="B39" s="76"/>
      <c r="C39" s="76"/>
    </row>
    <row r="40" spans="1:5" x14ac:dyDescent="0.25">
      <c r="A40" s="7"/>
      <c r="B40" s="46" t="s">
        <v>571</v>
      </c>
      <c r="C40" s="47" t="s">
        <v>125</v>
      </c>
    </row>
    <row r="41" spans="1:5" x14ac:dyDescent="0.25">
      <c r="A41" s="75" t="s">
        <v>126</v>
      </c>
      <c r="B41" s="48">
        <f>$B37/$B38</f>
        <v>123338.64677746491</v>
      </c>
      <c r="C41" s="48">
        <f>$C37/$B38</f>
        <v>1061.4190018175461</v>
      </c>
    </row>
    <row r="42" spans="1:5" x14ac:dyDescent="0.25">
      <c r="A42" s="75" t="s">
        <v>127</v>
      </c>
      <c r="B42" s="96">
        <f>($B34/$B38)*100</f>
        <v>0</v>
      </c>
      <c r="C42" s="96"/>
    </row>
    <row r="43" spans="1:5" x14ac:dyDescent="0.25">
      <c r="A43" s="75" t="s">
        <v>128</v>
      </c>
      <c r="B43" s="144">
        <f>B34/B38</f>
        <v>0</v>
      </c>
      <c r="C43" s="144">
        <f>C34/B38</f>
        <v>0</v>
      </c>
    </row>
    <row r="44" spans="1:5" x14ac:dyDescent="0.25">
      <c r="A44" s="75"/>
      <c r="B44" s="144"/>
      <c r="C44" s="144"/>
    </row>
    <row r="45" spans="1:5" x14ac:dyDescent="0.25">
      <c r="A45" s="335" t="s">
        <v>1057</v>
      </c>
      <c r="B45" s="144"/>
      <c r="C45" s="144"/>
    </row>
    <row r="46" spans="1:5" x14ac:dyDescent="0.25">
      <c r="A46" s="75"/>
      <c r="B46" s="144"/>
      <c r="C46" s="144"/>
    </row>
    <row r="47" spans="1:5" x14ac:dyDescent="0.25">
      <c r="A47" s="75"/>
      <c r="B47" s="79"/>
    </row>
    <row r="48" spans="1:5" x14ac:dyDescent="0.25">
      <c r="A48" s="75" t="s">
        <v>129</v>
      </c>
    </row>
    <row r="49" spans="1:5" ht="15.45" customHeight="1" x14ac:dyDescent="0.25">
      <c r="A49" s="188" t="s">
        <v>572</v>
      </c>
      <c r="B49" s="53"/>
      <c r="C49" s="53"/>
      <c r="D49" s="53"/>
      <c r="E49" s="53"/>
    </row>
    <row r="50" spans="1:5" ht="15.45" customHeight="1" x14ac:dyDescent="0.25">
      <c r="A50" s="188" t="s">
        <v>573</v>
      </c>
      <c r="B50" s="53"/>
      <c r="C50" s="53"/>
      <c r="D50" s="53"/>
      <c r="E50" s="53"/>
    </row>
    <row r="51" spans="1:5" ht="15.45" customHeight="1" x14ac:dyDescent="0.25">
      <c r="A51" s="7" t="s">
        <v>469</v>
      </c>
      <c r="B51" s="53"/>
      <c r="C51" s="53"/>
      <c r="D51" s="53"/>
      <c r="E51" s="53"/>
    </row>
    <row r="53" spans="1:5" x14ac:dyDescent="0.25">
      <c r="A53" s="75" t="s">
        <v>131</v>
      </c>
    </row>
    <row r="54" spans="1:5" ht="15.45" customHeight="1" x14ac:dyDescent="0.25">
      <c r="A54" s="54" t="s">
        <v>574</v>
      </c>
      <c r="B54" s="37"/>
      <c r="C54" s="147"/>
      <c r="E54" s="37"/>
    </row>
    <row r="55" spans="1:5" s="70" customFormat="1" x14ac:dyDescent="0.25">
      <c r="A55" s="37" t="s">
        <v>575</v>
      </c>
      <c r="B55" s="37"/>
      <c r="C55" s="147"/>
      <c r="D55" s="37"/>
      <c r="E55" s="37"/>
    </row>
    <row r="56" spans="1:5" s="70" customFormat="1" x14ac:dyDescent="0.3">
      <c r="A56" s="367" t="s">
        <v>576</v>
      </c>
      <c r="B56" s="367"/>
      <c r="C56" s="367"/>
      <c r="D56" s="367"/>
      <c r="E56" s="367"/>
    </row>
    <row r="57" spans="1:5" s="70" customFormat="1" x14ac:dyDescent="0.25">
      <c r="A57" s="7" t="s">
        <v>469</v>
      </c>
      <c r="D57" s="37"/>
    </row>
    <row r="58" spans="1:5" s="70" customFormat="1" x14ac:dyDescent="0.25">
      <c r="A58" s="7"/>
      <c r="D58" s="37"/>
    </row>
    <row r="59" spans="1:5" s="70" customFormat="1" x14ac:dyDescent="0.25">
      <c r="A59" s="7"/>
      <c r="D59" s="37"/>
    </row>
    <row r="60" spans="1:5" x14ac:dyDescent="0.25">
      <c r="A60" s="367" t="s">
        <v>1060</v>
      </c>
      <c r="B60" s="367"/>
      <c r="C60" s="367"/>
      <c r="D60" s="367"/>
      <c r="E60" s="367"/>
    </row>
    <row r="61" spans="1:5" x14ac:dyDescent="0.25">
      <c r="A61" s="367"/>
      <c r="B61" s="367"/>
      <c r="C61" s="367"/>
      <c r="D61" s="367"/>
      <c r="E61" s="367"/>
    </row>
  </sheetData>
  <sheetProtection algorithmName="SHA-512" hashValue="jz76W8R6zuY3sA0sKuByYUFo4V5hq2nxC1YF6zC1YTRuIZZc9ewg3tF2JKK/f/rfQQEuzzsBrzM2P9oz3N/u6Q==" saltValue="3sHhnywZur3m69a8wYITbw==" spinCount="100000" sheet="1" formatCells="0" formatColumns="0" formatRows="0" insertColumns="0" insertRows="0" insertHyperlinks="0" deleteColumns="0" deleteRows="0" sort="0" autoFilter="0" pivotTables="0"/>
  <mergeCells count="2">
    <mergeCell ref="A56:E56"/>
    <mergeCell ref="A60:E61"/>
  </mergeCells>
  <hyperlinks>
    <hyperlink ref="A2" location="Index!E45" display="[Back to Index]" xr:uid="{69C3DD75-41FB-4EF8-ABAD-1ADEE1C18D7D}"/>
  </hyperlinks>
  <pageMargins left="0.7" right="0.7" top="0.75" bottom="0.75" header="0.3" footer="0.3"/>
  <pageSetup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8DAB3-4359-44E4-85C5-56FB45B8ED6E}">
  <sheetPr codeName="Sheet47">
    <tabColor theme="6" tint="0.59999389629810485"/>
  </sheetPr>
  <dimension ref="A1:AD64"/>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2" width="27.5546875" style="38" customWidth="1"/>
    <col min="3" max="3" width="27.6640625" style="38" customWidth="1"/>
    <col min="4" max="4" width="95.6640625" style="37" customWidth="1"/>
    <col min="5" max="5" width="40.6640625" style="38" customWidth="1"/>
    <col min="6" max="9" width="8.6640625" style="271"/>
    <col min="10" max="16384" width="8.6640625" style="18"/>
  </cols>
  <sheetData>
    <row r="1" spans="1:30" s="5" customFormat="1" ht="17.399999999999999" x14ac:dyDescent="0.25">
      <c r="A1" s="112" t="s">
        <v>70</v>
      </c>
      <c r="B1" s="2" t="s">
        <v>73</v>
      </c>
      <c r="C1" s="84">
        <v>1.1721269999999999</v>
      </c>
      <c r="D1" s="4" t="s">
        <v>1045</v>
      </c>
      <c r="F1" s="270"/>
      <c r="G1" s="270"/>
      <c r="H1" s="270"/>
      <c r="I1" s="270"/>
    </row>
    <row r="2" spans="1:30" s="5" customFormat="1" x14ac:dyDescent="0.25">
      <c r="A2" s="324" t="s">
        <v>74</v>
      </c>
      <c r="C2" s="84">
        <v>3.2302699999999997E-2</v>
      </c>
      <c r="D2" s="4" t="s">
        <v>1046</v>
      </c>
      <c r="F2" s="270"/>
      <c r="G2" s="270"/>
      <c r="H2" s="270"/>
      <c r="I2" s="270"/>
    </row>
    <row r="3" spans="1:30" x14ac:dyDescent="0.25">
      <c r="A3" s="154"/>
      <c r="B3" s="222"/>
      <c r="C3" s="142"/>
    </row>
    <row r="4" spans="1:30" s="10" customFormat="1" x14ac:dyDescent="0.3">
      <c r="A4" s="8" t="s">
        <v>75</v>
      </c>
      <c r="B4" s="9" t="s">
        <v>906</v>
      </c>
      <c r="C4" s="9" t="s">
        <v>77</v>
      </c>
      <c r="D4" s="9" t="s">
        <v>78</v>
      </c>
      <c r="E4" s="8" t="s">
        <v>79</v>
      </c>
      <c r="F4" s="272"/>
      <c r="G4" s="272"/>
      <c r="H4" s="272"/>
      <c r="I4" s="272"/>
    </row>
    <row r="5" spans="1:30" s="15" customFormat="1" ht="60" x14ac:dyDescent="0.25">
      <c r="A5" s="11" t="s">
        <v>80</v>
      </c>
      <c r="B5" s="16">
        <f>SUM(B6:B7)</f>
        <v>0</v>
      </c>
      <c r="C5" s="16">
        <f>SUM(C6:C7)</f>
        <v>0</v>
      </c>
      <c r="D5" s="13"/>
      <c r="E5" s="14"/>
      <c r="F5" s="273"/>
      <c r="G5" s="273"/>
      <c r="H5" s="273"/>
      <c r="I5" s="273"/>
    </row>
    <row r="6" spans="1:30" s="15" customFormat="1" ht="45" x14ac:dyDescent="0.25">
      <c r="A6" s="14" t="s">
        <v>81</v>
      </c>
      <c r="B6" s="16"/>
      <c r="C6" s="16"/>
      <c r="D6" s="13" t="s">
        <v>907</v>
      </c>
      <c r="E6" s="260" t="s">
        <v>846</v>
      </c>
      <c r="F6" s="273"/>
      <c r="G6" s="273"/>
      <c r="H6" s="273"/>
      <c r="I6" s="273"/>
    </row>
    <row r="7" spans="1:30" s="15" customFormat="1" ht="45" x14ac:dyDescent="0.25">
      <c r="A7" s="14" t="s">
        <v>84</v>
      </c>
      <c r="B7" s="17"/>
      <c r="C7" s="17"/>
      <c r="D7" s="274" t="s">
        <v>908</v>
      </c>
      <c r="E7" s="260" t="s">
        <v>846</v>
      </c>
      <c r="F7" s="273"/>
      <c r="G7" s="273"/>
      <c r="H7" s="273"/>
      <c r="I7" s="273"/>
    </row>
    <row r="8" spans="1:30" ht="30" x14ac:dyDescent="0.25">
      <c r="A8" s="11" t="s">
        <v>87</v>
      </c>
      <c r="B8" s="16">
        <f>SUM(B9:B11)</f>
        <v>0</v>
      </c>
      <c r="C8" s="16">
        <f>SUM(C9:C11)</f>
        <v>0</v>
      </c>
      <c r="D8" s="13"/>
      <c r="E8" s="14"/>
    </row>
    <row r="9" spans="1:30" ht="60" x14ac:dyDescent="0.25">
      <c r="A9" s="14" t="s">
        <v>88</v>
      </c>
      <c r="B9" s="16"/>
      <c r="C9" s="16"/>
      <c r="E9" s="14"/>
    </row>
    <row r="10" spans="1:30" ht="45" x14ac:dyDescent="0.25">
      <c r="A10" s="14" t="s">
        <v>90</v>
      </c>
      <c r="B10" s="16"/>
      <c r="C10" s="16"/>
      <c r="D10" s="24" t="s">
        <v>909</v>
      </c>
      <c r="E10" s="260" t="s">
        <v>846</v>
      </c>
    </row>
    <row r="11" spans="1:30" x14ac:dyDescent="0.25">
      <c r="A11" s="14" t="s">
        <v>92</v>
      </c>
      <c r="B11" s="16"/>
      <c r="C11" s="16"/>
      <c r="D11" s="13"/>
      <c r="E11" s="14"/>
    </row>
    <row r="12" spans="1:30" ht="45" x14ac:dyDescent="0.25">
      <c r="A12" s="11" t="s">
        <v>93</v>
      </c>
      <c r="B12" s="16">
        <f>SUM(B13:B14)</f>
        <v>0</v>
      </c>
      <c r="C12" s="16">
        <f>SUM(C13:C14)</f>
        <v>0</v>
      </c>
      <c r="D12" s="13"/>
      <c r="E12" s="14"/>
    </row>
    <row r="13" spans="1:30" ht="45" x14ac:dyDescent="0.25">
      <c r="A13" s="14" t="s">
        <v>94</v>
      </c>
      <c r="B13" s="23"/>
      <c r="C13" s="23"/>
      <c r="D13" s="13" t="s">
        <v>910</v>
      </c>
      <c r="E13" s="260" t="s">
        <v>846</v>
      </c>
    </row>
    <row r="14" spans="1:30" ht="133.80000000000001" customHeight="1" x14ac:dyDescent="0.25">
      <c r="A14" s="14" t="s">
        <v>96</v>
      </c>
      <c r="B14" s="16"/>
      <c r="C14" s="16"/>
      <c r="D14" s="13" t="s">
        <v>911</v>
      </c>
      <c r="E14" s="260" t="s">
        <v>846</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row>
    <row r="15" spans="1:30" ht="45" x14ac:dyDescent="0.25">
      <c r="A15" s="11" t="s">
        <v>97</v>
      </c>
      <c r="B15" s="12">
        <v>0</v>
      </c>
      <c r="C15" s="12">
        <v>0</v>
      </c>
      <c r="D15" s="13"/>
      <c r="E15" s="14"/>
    </row>
    <row r="16" spans="1:30" ht="30" x14ac:dyDescent="0.25">
      <c r="A16" s="11" t="s">
        <v>98</v>
      </c>
      <c r="B16" s="12">
        <f>SUM(B17:B18)</f>
        <v>32131761461.759998</v>
      </c>
      <c r="C16" s="12">
        <f>SUM(C17:C18)</f>
        <v>173632000</v>
      </c>
      <c r="D16" s="13"/>
      <c r="E16" s="14"/>
    </row>
    <row r="17" spans="1:5" ht="54" customHeight="1" x14ac:dyDescent="0.25">
      <c r="A17" s="13" t="s">
        <v>99</v>
      </c>
      <c r="B17" s="282">
        <f>C17*B36</f>
        <v>16112144900.879999</v>
      </c>
      <c r="C17" s="282">
        <f>(0.5*10^6)+(C37*0.001)</f>
        <v>87066000</v>
      </c>
      <c r="D17" s="274" t="s">
        <v>912</v>
      </c>
      <c r="E17" s="260" t="s">
        <v>846</v>
      </c>
    </row>
    <row r="18" spans="1:5" ht="108" customHeight="1" x14ac:dyDescent="0.25">
      <c r="A18" s="13" t="s">
        <v>101</v>
      </c>
      <c r="B18" s="282">
        <f>+C18*B36</f>
        <v>16019616560.879999</v>
      </c>
      <c r="C18" s="282">
        <f>C37*0.001</f>
        <v>86566000</v>
      </c>
      <c r="D18" s="58" t="s">
        <v>913</v>
      </c>
      <c r="E18" s="260" t="s">
        <v>846</v>
      </c>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E24" s="14"/>
    </row>
    <row r="25" spans="1:5" x14ac:dyDescent="0.25">
      <c r="A25" s="13" t="s">
        <v>109</v>
      </c>
      <c r="B25" s="16"/>
      <c r="C25" s="23"/>
      <c r="D25" s="13"/>
      <c r="E25" s="14"/>
    </row>
    <row r="26" spans="1:5" x14ac:dyDescent="0.25">
      <c r="A26" s="22" t="s">
        <v>111</v>
      </c>
      <c r="B26" s="12">
        <f>SUM(B27:B29)</f>
        <v>129539676</v>
      </c>
      <c r="C26" s="12">
        <f>SUM(C27:C29)</f>
        <v>700000</v>
      </c>
      <c r="D26" s="13"/>
      <c r="E26" s="14"/>
    </row>
    <row r="27" spans="1:5" x14ac:dyDescent="0.25">
      <c r="A27" s="13" t="s">
        <v>112</v>
      </c>
      <c r="B27" s="16"/>
      <c r="C27" s="16"/>
      <c r="D27" s="13"/>
      <c r="E27" s="14"/>
    </row>
    <row r="28" spans="1:5" x14ac:dyDescent="0.25">
      <c r="A28" s="13" t="s">
        <v>115</v>
      </c>
      <c r="B28" s="16"/>
      <c r="C28" s="16"/>
      <c r="E28" s="288"/>
    </row>
    <row r="29" spans="1:5" x14ac:dyDescent="0.25">
      <c r="A29" s="13" t="s">
        <v>116</v>
      </c>
      <c r="B29" s="16">
        <f>SUM(B30:B31)</f>
        <v>129539676</v>
      </c>
      <c r="C29" s="16">
        <f>SUM(C30:C31)</f>
        <v>700000</v>
      </c>
      <c r="D29" s="288"/>
      <c r="E29" s="288"/>
    </row>
    <row r="30" spans="1:5" ht="45" x14ac:dyDescent="0.25">
      <c r="A30" s="13" t="s">
        <v>117</v>
      </c>
      <c r="B30" s="16">
        <f>C30*B36</f>
        <v>129539676</v>
      </c>
      <c r="C30" s="282">
        <f>(0.1+0.6)*10^6</f>
        <v>700000</v>
      </c>
      <c r="D30" s="83" t="s">
        <v>914</v>
      </c>
      <c r="E30" s="24" t="s">
        <v>209</v>
      </c>
    </row>
    <row r="31" spans="1:5" x14ac:dyDescent="0.25">
      <c r="A31" s="13" t="s">
        <v>118</v>
      </c>
      <c r="B31" s="16"/>
      <c r="C31" s="16"/>
      <c r="D31" s="13"/>
      <c r="E31" s="14"/>
    </row>
    <row r="32" spans="1:5" x14ac:dyDescent="0.25">
      <c r="A32" s="11" t="s">
        <v>119</v>
      </c>
      <c r="B32" s="12">
        <v>0</v>
      </c>
      <c r="C32" s="12">
        <v>0</v>
      </c>
      <c r="D32" s="13"/>
      <c r="E32" s="14"/>
    </row>
    <row r="33" spans="1:5" x14ac:dyDescent="0.25">
      <c r="A33" s="31"/>
      <c r="B33" s="120"/>
      <c r="C33" s="120"/>
      <c r="D33" s="33"/>
      <c r="E33" s="34"/>
    </row>
    <row r="34" spans="1:5" x14ac:dyDescent="0.25">
      <c r="A34" s="35" t="s">
        <v>120</v>
      </c>
      <c r="B34" s="265">
        <f>(SUM(B5,B8,B12,B15,B16,B32))</f>
        <v>32131761461.759998</v>
      </c>
      <c r="C34" s="265">
        <f>(SUM(C5,C8,C12,C15,C16,C32))</f>
        <v>173632000</v>
      </c>
      <c r="D34" s="289"/>
    </row>
    <row r="35" spans="1:5" x14ac:dyDescent="0.25">
      <c r="A35" s="31"/>
      <c r="B35" s="39"/>
      <c r="C35" s="40"/>
      <c r="D35" s="289"/>
    </row>
    <row r="36" spans="1:5" x14ac:dyDescent="0.25">
      <c r="A36" s="31" t="s">
        <v>121</v>
      </c>
      <c r="B36" s="268">
        <v>185.05668</v>
      </c>
      <c r="C36" s="42"/>
    </row>
    <row r="37" spans="1:5" x14ac:dyDescent="0.25">
      <c r="A37" s="43" t="s">
        <v>122</v>
      </c>
      <c r="B37" s="269">
        <v>15451510000000</v>
      </c>
      <c r="C37" s="269">
        <v>86566000000</v>
      </c>
    </row>
    <row r="38" spans="1:5" x14ac:dyDescent="0.25">
      <c r="A38" s="43" t="s">
        <v>123</v>
      </c>
      <c r="B38" s="269">
        <v>21670000</v>
      </c>
      <c r="C38" s="152"/>
    </row>
    <row r="39" spans="1:5" x14ac:dyDescent="0.25">
      <c r="A39" s="43"/>
      <c r="B39" s="44"/>
      <c r="C39" s="44"/>
    </row>
    <row r="40" spans="1:5" x14ac:dyDescent="0.25">
      <c r="A40" s="5"/>
      <c r="B40" s="46" t="s">
        <v>915</v>
      </c>
      <c r="C40" s="47" t="s">
        <v>125</v>
      </c>
    </row>
    <row r="41" spans="1:5" x14ac:dyDescent="0.25">
      <c r="A41" s="43" t="s">
        <v>126</v>
      </c>
      <c r="B41" s="269">
        <f>$B37/$B38</f>
        <v>713036.91739732353</v>
      </c>
      <c r="C41" s="269">
        <f>$C37/$B38</f>
        <v>3994.7392708814027</v>
      </c>
    </row>
    <row r="42" spans="1:5" x14ac:dyDescent="0.25">
      <c r="A42" s="43" t="s">
        <v>127</v>
      </c>
      <c r="B42" s="268">
        <f>($B34/$B37)*100</f>
        <v>0.2079522419605592</v>
      </c>
      <c r="C42" s="96"/>
    </row>
    <row r="43" spans="1:5" x14ac:dyDescent="0.25">
      <c r="A43" s="43" t="s">
        <v>128</v>
      </c>
      <c r="B43" s="268">
        <f>B34/B38</f>
        <v>1482.7762557341946</v>
      </c>
      <c r="C43" s="268">
        <f>C34/B38</f>
        <v>8.0125519150899862</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13" ht="15.45" customHeight="1" x14ac:dyDescent="0.25">
      <c r="A49" s="364" t="s">
        <v>916</v>
      </c>
      <c r="B49" s="364"/>
      <c r="C49" s="364"/>
      <c r="D49" s="364"/>
      <c r="E49" s="364"/>
      <c r="F49" s="278"/>
      <c r="G49" s="278"/>
      <c r="H49" s="278"/>
      <c r="I49" s="278"/>
      <c r="J49" s="38"/>
      <c r="K49" s="38"/>
      <c r="L49" s="38"/>
      <c r="M49" s="38"/>
    </row>
    <row r="50" spans="1:13" ht="15.45" customHeight="1" x14ac:dyDescent="0.25">
      <c r="A50" s="364"/>
      <c r="B50" s="364"/>
      <c r="C50" s="364"/>
      <c r="D50" s="364"/>
      <c r="E50" s="364"/>
    </row>
    <row r="51" spans="1:13" ht="15.45" customHeight="1" x14ac:dyDescent="0.25">
      <c r="A51" s="52" t="s">
        <v>917</v>
      </c>
      <c r="B51" s="52"/>
      <c r="C51" s="52"/>
      <c r="D51" s="52"/>
      <c r="E51" s="52"/>
    </row>
    <row r="52" spans="1:13" x14ac:dyDescent="0.25">
      <c r="A52" s="52" t="s">
        <v>918</v>
      </c>
      <c r="B52" s="52"/>
      <c r="C52" s="52"/>
      <c r="D52" s="52"/>
      <c r="E52" s="52"/>
    </row>
    <row r="53" spans="1:13" x14ac:dyDescent="0.25">
      <c r="A53" s="52" t="s">
        <v>919</v>
      </c>
      <c r="B53" s="52"/>
      <c r="C53" s="52"/>
      <c r="D53" s="52"/>
      <c r="E53" s="52"/>
    </row>
    <row r="54" spans="1:13" x14ac:dyDescent="0.25">
      <c r="A54" s="281" t="s">
        <v>920</v>
      </c>
      <c r="B54" s="290"/>
      <c r="C54" s="290"/>
      <c r="D54" s="291"/>
      <c r="E54" s="290"/>
    </row>
    <row r="55" spans="1:13" x14ac:dyDescent="0.25">
      <c r="A55" s="290"/>
      <c r="B55" s="290"/>
      <c r="C55" s="290"/>
      <c r="D55" s="290"/>
      <c r="E55" s="290"/>
    </row>
    <row r="56" spans="1:13" x14ac:dyDescent="0.25">
      <c r="A56" s="43" t="s">
        <v>131</v>
      </c>
    </row>
    <row r="57" spans="1:13" s="38" customFormat="1" ht="15.6" customHeight="1" x14ac:dyDescent="0.25">
      <c r="A57" s="37" t="s">
        <v>921</v>
      </c>
      <c r="B57" s="37"/>
      <c r="C57" s="37"/>
      <c r="D57" s="37"/>
      <c r="E57" s="37"/>
      <c r="F57" s="278"/>
      <c r="G57" s="278"/>
      <c r="H57" s="278"/>
      <c r="I57" s="278"/>
    </row>
    <row r="58" spans="1:13" s="38" customFormat="1" x14ac:dyDescent="0.25">
      <c r="A58" s="37" t="s">
        <v>922</v>
      </c>
      <c r="B58" s="37"/>
      <c r="C58" s="37"/>
      <c r="D58" s="37"/>
      <c r="E58" s="37"/>
      <c r="F58" s="278"/>
      <c r="G58" s="278"/>
      <c r="H58" s="278"/>
      <c r="I58" s="278"/>
    </row>
    <row r="59" spans="1:13" s="38" customFormat="1" x14ac:dyDescent="0.25">
      <c r="A59" s="37" t="s">
        <v>923</v>
      </c>
      <c r="B59" s="37"/>
      <c r="C59" s="37"/>
      <c r="D59" s="37"/>
      <c r="E59" s="37"/>
      <c r="F59" s="278"/>
      <c r="G59" s="278"/>
      <c r="H59" s="278"/>
      <c r="I59" s="278"/>
    </row>
    <row r="60" spans="1:13" s="38" customFormat="1" x14ac:dyDescent="0.25">
      <c r="A60" s="281" t="s">
        <v>870</v>
      </c>
      <c r="D60" s="37"/>
      <c r="F60" s="278"/>
      <c r="G60" s="278"/>
      <c r="H60" s="278"/>
      <c r="I60" s="278"/>
    </row>
    <row r="61" spans="1:13" s="38" customFormat="1" x14ac:dyDescent="0.25">
      <c r="D61" s="37"/>
      <c r="F61" s="278"/>
      <c r="G61" s="278"/>
      <c r="H61" s="278"/>
      <c r="I61" s="278"/>
    </row>
    <row r="62" spans="1:13" s="38" customFormat="1" ht="15.6" customHeight="1" x14ac:dyDescent="0.25">
      <c r="A62" s="5"/>
      <c r="D62" s="37"/>
      <c r="F62" s="278"/>
      <c r="G62" s="278"/>
      <c r="H62" s="278"/>
      <c r="I62" s="278"/>
    </row>
    <row r="63" spans="1:13" x14ac:dyDescent="0.25">
      <c r="A63" s="364" t="s">
        <v>1060</v>
      </c>
      <c r="B63" s="364"/>
      <c r="C63" s="364"/>
      <c r="D63" s="364"/>
      <c r="E63" s="364"/>
    </row>
    <row r="64" spans="1:13" x14ac:dyDescent="0.25">
      <c r="A64" s="364"/>
      <c r="B64" s="364"/>
      <c r="C64" s="364"/>
      <c r="D64" s="364"/>
      <c r="E64" s="364"/>
    </row>
  </sheetData>
  <sheetProtection algorithmName="SHA-512" hashValue="TKEMQQwDEPMMSYMoQ32QpcMEOTHlY71xa72p7KpoKibBdTV/7mEUihOh6iZ3SZF17L3UT2mG3+zHgN/VOhsqew==" saltValue="kY9Jnmpktc45C70TiKdPIA==" spinCount="100000" sheet="1" formatCells="0" formatColumns="0" formatRows="0" insertColumns="0" insertRows="0" insertHyperlinks="0" deleteColumns="0" deleteRows="0" sort="0" autoFilter="0" pivotTables="0"/>
  <mergeCells count="2">
    <mergeCell ref="A49:E50"/>
    <mergeCell ref="A63:E64"/>
  </mergeCells>
  <hyperlinks>
    <hyperlink ref="A2" location="Index!E46" display="[Back to Index]" xr:uid="{CAF85103-DCC0-421E-80AC-AD2EE31B3828}"/>
  </hyperlinks>
  <pageMargins left="0.7" right="0.7" top="0.75" bottom="0.75" header="0.3" footer="0.3"/>
  <pageSetup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7032-A530-456E-8553-D87925754125}">
  <sheetPr codeName="Sheet48">
    <tabColor rgb="FFBFDDAB"/>
  </sheetPr>
  <dimension ref="A1:E61"/>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4</v>
      </c>
      <c r="B1" s="2" t="s">
        <v>73</v>
      </c>
      <c r="C1" s="3">
        <v>26.352039999999999</v>
      </c>
      <c r="D1" s="4" t="s">
        <v>1045</v>
      </c>
    </row>
    <row r="2" spans="1:5" s="5" customFormat="1" x14ac:dyDescent="0.25">
      <c r="A2" s="324" t="s">
        <v>74</v>
      </c>
      <c r="C2" s="3">
        <v>0.2760843</v>
      </c>
      <c r="D2" s="4" t="s">
        <v>1046</v>
      </c>
    </row>
    <row r="3" spans="1:5" s="5" customFormat="1" x14ac:dyDescent="0.25">
      <c r="A3" s="6"/>
      <c r="D3" s="7"/>
    </row>
    <row r="4" spans="1:5" s="10" customFormat="1" x14ac:dyDescent="0.3">
      <c r="A4" s="8" t="s">
        <v>75</v>
      </c>
      <c r="B4" s="9" t="s">
        <v>137</v>
      </c>
      <c r="C4" s="9" t="s">
        <v>77</v>
      </c>
      <c r="D4" s="9" t="s">
        <v>78</v>
      </c>
      <c r="E4" s="8" t="s">
        <v>79</v>
      </c>
    </row>
    <row r="5" spans="1:5" s="15" customFormat="1" ht="60" x14ac:dyDescent="0.25">
      <c r="A5" s="11" t="s">
        <v>80</v>
      </c>
      <c r="B5" s="12">
        <f>SUM(B6:B7)</f>
        <v>0</v>
      </c>
      <c r="C5" s="12">
        <f>SUM(C6:C7)</f>
        <v>0</v>
      </c>
      <c r="D5" s="13"/>
      <c r="E5" s="14"/>
    </row>
    <row r="6" spans="1:5" s="15" customFormat="1" ht="105" x14ac:dyDescent="0.25">
      <c r="A6" s="14" t="s">
        <v>81</v>
      </c>
      <c r="B6" s="16"/>
      <c r="C6" s="16"/>
      <c r="D6" s="13" t="s">
        <v>138</v>
      </c>
      <c r="E6" s="14" t="s">
        <v>139</v>
      </c>
    </row>
    <row r="7" spans="1:5" s="15" customFormat="1" ht="45" x14ac:dyDescent="0.25">
      <c r="A7" s="14" t="s">
        <v>84</v>
      </c>
      <c r="B7" s="17"/>
      <c r="C7" s="17"/>
      <c r="D7" s="56"/>
      <c r="E7" s="14"/>
    </row>
    <row r="8" spans="1:5" ht="30" x14ac:dyDescent="0.25">
      <c r="A8" s="11" t="s">
        <v>87</v>
      </c>
      <c r="B8" s="12">
        <f>SUM(B9:B11)</f>
        <v>110000000000</v>
      </c>
      <c r="C8" s="12">
        <f>SUM(C9:C11)</f>
        <v>68407960199.004974</v>
      </c>
      <c r="D8" s="13"/>
      <c r="E8" s="14"/>
    </row>
    <row r="9" spans="1:5" ht="120" x14ac:dyDescent="0.25">
      <c r="A9" s="14" t="s">
        <v>88</v>
      </c>
      <c r="B9" s="16">
        <f>(90)*10^9</f>
        <v>90000000000</v>
      </c>
      <c r="C9" s="16">
        <f>B9/$B$36</f>
        <v>55970149253.731339</v>
      </c>
      <c r="D9" s="13" t="s">
        <v>140</v>
      </c>
      <c r="E9" s="14" t="s">
        <v>141</v>
      </c>
    </row>
    <row r="10" spans="1:5" ht="120" x14ac:dyDescent="0.25">
      <c r="A10" s="14" t="s">
        <v>90</v>
      </c>
      <c r="B10" s="16"/>
      <c r="C10" s="16"/>
      <c r="D10" s="13" t="s">
        <v>142</v>
      </c>
      <c r="E10" s="14" t="s">
        <v>143</v>
      </c>
    </row>
    <row r="11" spans="1:5" ht="182.4" customHeight="1" x14ac:dyDescent="0.25">
      <c r="A11" s="14" t="s">
        <v>92</v>
      </c>
      <c r="B11" s="19">
        <f>(20)*10^9</f>
        <v>20000000000</v>
      </c>
      <c r="C11" s="19">
        <f>B11/$B$36</f>
        <v>12437810945.273632</v>
      </c>
      <c r="D11" s="13" t="s">
        <v>144</v>
      </c>
      <c r="E11" s="14" t="s">
        <v>145</v>
      </c>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30" x14ac:dyDescent="0.25">
      <c r="A16" s="11" t="s">
        <v>98</v>
      </c>
      <c r="B16" s="12">
        <f>SUM(B17:B18)</f>
        <v>17054600000</v>
      </c>
      <c r="C16" s="12">
        <f>SUM(C17:C18)</f>
        <v>10606094527.363184</v>
      </c>
      <c r="D16" s="13"/>
      <c r="E16" s="14"/>
    </row>
    <row r="17" spans="1:5" ht="60" x14ac:dyDescent="0.25">
      <c r="A17" s="13" t="s">
        <v>99</v>
      </c>
      <c r="B17" s="16">
        <f>(5+0.5546)*10^9</f>
        <v>5554600000</v>
      </c>
      <c r="C17" s="16">
        <f>B17/$B$36</f>
        <v>3454353233.8308454</v>
      </c>
      <c r="D17" s="57" t="s">
        <v>146</v>
      </c>
      <c r="E17" s="14" t="s">
        <v>86</v>
      </c>
    </row>
    <row r="18" spans="1:5" ht="120" x14ac:dyDescent="0.25">
      <c r="A18" s="13" t="s">
        <v>101</v>
      </c>
      <c r="B18" s="16">
        <f>(11.5)*10^9</f>
        <v>11500000000</v>
      </c>
      <c r="C18" s="16">
        <f>B18/$B$36</f>
        <v>7151741293.5323381</v>
      </c>
      <c r="D18" s="58" t="s">
        <v>147</v>
      </c>
      <c r="E18" s="14" t="s">
        <v>86</v>
      </c>
    </row>
    <row r="19" spans="1:5" ht="30" x14ac:dyDescent="0.25">
      <c r="A19" s="11" t="s">
        <v>103</v>
      </c>
      <c r="B19" s="20"/>
      <c r="C19" s="20"/>
      <c r="D19" s="13"/>
      <c r="E19" s="21"/>
    </row>
    <row r="20" spans="1:5" x14ac:dyDescent="0.25">
      <c r="A20" s="14" t="s">
        <v>104</v>
      </c>
      <c r="B20" s="19"/>
      <c r="C20" s="19"/>
      <c r="D20" s="13"/>
      <c r="E20" s="21"/>
    </row>
    <row r="21" spans="1:5" ht="30" x14ac:dyDescent="0.25">
      <c r="A21" s="22" t="s">
        <v>105</v>
      </c>
      <c r="B21" s="12">
        <f>SUM(B22,B24)</f>
        <v>0</v>
      </c>
      <c r="C21" s="12">
        <f>SUM(C22,C24)</f>
        <v>0</v>
      </c>
      <c r="D21" s="13" t="s">
        <v>148</v>
      </c>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1849200000</v>
      </c>
      <c r="C26" s="12">
        <f>SUM(C27:C29)</f>
        <v>1150000000</v>
      </c>
      <c r="D26" s="13"/>
      <c r="E26" s="14"/>
    </row>
    <row r="27" spans="1:5" ht="120" x14ac:dyDescent="0.25">
      <c r="A27" s="13" t="s">
        <v>112</v>
      </c>
      <c r="B27" s="16">
        <f>C27*$B$36</f>
        <v>1849200000</v>
      </c>
      <c r="C27" s="16">
        <f>+(1.15*10^9)</f>
        <v>1150000000</v>
      </c>
      <c r="D27" s="13" t="s">
        <v>149</v>
      </c>
      <c r="E27" s="14" t="s">
        <v>150</v>
      </c>
    </row>
    <row r="28" spans="1:5" ht="60" x14ac:dyDescent="0.25">
      <c r="A28" s="13" t="s">
        <v>115</v>
      </c>
      <c r="B28" s="16"/>
      <c r="C28" s="16"/>
      <c r="D28" s="13" t="s">
        <v>151</v>
      </c>
      <c r="E28" s="14" t="s">
        <v>86</v>
      </c>
    </row>
    <row r="29" spans="1:5" x14ac:dyDescent="0.25">
      <c r="A29" s="13" t="s">
        <v>116</v>
      </c>
      <c r="B29" s="19">
        <f>SUM(B30:B31)</f>
        <v>0</v>
      </c>
      <c r="C29" s="19">
        <f>SUM(C30:C31)</f>
        <v>0</v>
      </c>
      <c r="D29" s="13"/>
      <c r="E29" s="14"/>
    </row>
    <row r="30" spans="1:5" x14ac:dyDescent="0.25">
      <c r="A30" s="25" t="s">
        <v>117</v>
      </c>
      <c r="B30" s="26"/>
      <c r="C30" s="26"/>
      <c r="D30" s="27"/>
      <c r="E30" s="28"/>
    </row>
    <row r="31" spans="1:5" x14ac:dyDescent="0.25">
      <c r="A31" s="25" t="s">
        <v>118</v>
      </c>
      <c r="B31" s="26"/>
      <c r="C31" s="26"/>
      <c r="D31" s="25"/>
      <c r="E31" s="29"/>
    </row>
    <row r="32" spans="1:5" ht="120" x14ac:dyDescent="0.25">
      <c r="A32" s="11" t="s">
        <v>119</v>
      </c>
      <c r="B32" s="59">
        <v>194000000000</v>
      </c>
      <c r="C32" s="12">
        <f>B32/$B$36</f>
        <v>120646766169.15422</v>
      </c>
      <c r="D32" s="13" t="s">
        <v>152</v>
      </c>
      <c r="E32" s="14" t="s">
        <v>153</v>
      </c>
    </row>
    <row r="33" spans="1:5" x14ac:dyDescent="0.25">
      <c r="A33" s="31"/>
      <c r="B33" s="32"/>
      <c r="C33" s="32"/>
      <c r="D33" s="33"/>
      <c r="E33" s="34"/>
    </row>
    <row r="34" spans="1:5" x14ac:dyDescent="0.25">
      <c r="A34" s="35" t="s">
        <v>120</v>
      </c>
      <c r="B34" s="36">
        <f>SUM(B5,B8,B12,B15,B16,B32)</f>
        <v>321054600000</v>
      </c>
      <c r="C34" s="36">
        <f>SUM(C5,C8,C12,C15,C16,C32)</f>
        <v>199660820895.5224</v>
      </c>
      <c r="D34" s="37" t="s">
        <v>154</v>
      </c>
    </row>
    <row r="35" spans="1:5" x14ac:dyDescent="0.25">
      <c r="A35" s="35"/>
      <c r="B35" s="39"/>
      <c r="C35" s="40"/>
    </row>
    <row r="36" spans="1:5" x14ac:dyDescent="0.25">
      <c r="A36" s="35" t="s">
        <v>121</v>
      </c>
      <c r="B36" s="41">
        <v>1.6080000000000001</v>
      </c>
      <c r="C36" s="42"/>
    </row>
    <row r="37" spans="1:5" x14ac:dyDescent="0.25">
      <c r="A37" s="43" t="s">
        <v>122</v>
      </c>
      <c r="B37" s="44">
        <v>1983330000000</v>
      </c>
      <c r="C37" s="44">
        <v>1376260000000</v>
      </c>
    </row>
    <row r="38" spans="1:5" x14ac:dyDescent="0.25">
      <c r="A38" s="43" t="s">
        <v>123</v>
      </c>
      <c r="B38" s="45">
        <v>24992369</v>
      </c>
      <c r="C38" s="45"/>
    </row>
    <row r="39" spans="1:5" x14ac:dyDescent="0.25">
      <c r="A39" s="43"/>
      <c r="B39" s="44"/>
      <c r="C39" s="44"/>
    </row>
    <row r="40" spans="1:5" x14ac:dyDescent="0.25">
      <c r="A40" s="5"/>
      <c r="B40" s="46" t="s">
        <v>156</v>
      </c>
      <c r="C40" s="47" t="s">
        <v>125</v>
      </c>
    </row>
    <row r="41" spans="1:5" x14ac:dyDescent="0.25">
      <c r="A41" s="43" t="s">
        <v>126</v>
      </c>
      <c r="B41" s="48">
        <f>$B37/$B$38</f>
        <v>79357.423059814784</v>
      </c>
      <c r="C41" s="48">
        <f>$C37/$B$38</f>
        <v>55067.208714788103</v>
      </c>
    </row>
    <row r="42" spans="1:5" x14ac:dyDescent="0.25">
      <c r="A42" s="43" t="s">
        <v>127</v>
      </c>
      <c r="B42" s="49">
        <f>($B34/$B37)*100</f>
        <v>16.187654096897642</v>
      </c>
      <c r="C42" s="49"/>
    </row>
    <row r="43" spans="1:5" x14ac:dyDescent="0.25">
      <c r="A43" s="43" t="s">
        <v>128</v>
      </c>
      <c r="B43" s="50">
        <f>$B34/$B$38</f>
        <v>12846.105145134501</v>
      </c>
      <c r="C43" s="50">
        <f>$C34/$B$38</f>
        <v>7988.8713589144909</v>
      </c>
    </row>
    <row r="44" spans="1:5" x14ac:dyDescent="0.25">
      <c r="A44" s="43"/>
      <c r="B44" s="50"/>
      <c r="C44" s="50"/>
    </row>
    <row r="45" spans="1:5" x14ac:dyDescent="0.25">
      <c r="A45" s="336" t="s">
        <v>1055</v>
      </c>
      <c r="B45" s="50"/>
      <c r="C45" s="50"/>
    </row>
    <row r="46" spans="1:5" x14ac:dyDescent="0.25">
      <c r="A46" s="43"/>
      <c r="B46" s="50"/>
      <c r="C46" s="50"/>
    </row>
    <row r="47" spans="1:5" x14ac:dyDescent="0.25">
      <c r="A47" s="43"/>
      <c r="B47" s="51"/>
    </row>
    <row r="48" spans="1:5" x14ac:dyDescent="0.25">
      <c r="A48" s="43" t="s">
        <v>129</v>
      </c>
    </row>
    <row r="49" spans="1:5" x14ac:dyDescent="0.25">
      <c r="A49" s="60" t="s">
        <v>130</v>
      </c>
    </row>
    <row r="50" spans="1:5" s="38" customFormat="1" x14ac:dyDescent="0.25">
      <c r="A50" s="52"/>
      <c r="B50" s="34"/>
      <c r="C50" s="34"/>
      <c r="D50" s="34"/>
      <c r="E50" s="34"/>
    </row>
    <row r="51" spans="1:5" s="38" customFormat="1" x14ac:dyDescent="0.25">
      <c r="A51" s="43" t="s">
        <v>131</v>
      </c>
      <c r="D51" s="37"/>
    </row>
    <row r="52" spans="1:5" ht="15.6" customHeight="1" x14ac:dyDescent="0.25">
      <c r="A52" s="5" t="s">
        <v>157</v>
      </c>
      <c r="B52" s="53"/>
      <c r="C52" s="53"/>
      <c r="D52" s="53"/>
      <c r="E52" s="53"/>
    </row>
    <row r="53" spans="1:5" ht="15.6" customHeight="1" x14ac:dyDescent="0.25">
      <c r="A53" s="5" t="s">
        <v>158</v>
      </c>
      <c r="B53" s="53"/>
      <c r="C53" s="53"/>
      <c r="D53" s="53"/>
      <c r="E53" s="53"/>
    </row>
    <row r="54" spans="1:5" ht="15.6" customHeight="1" x14ac:dyDescent="0.25">
      <c r="A54" s="5" t="s">
        <v>159</v>
      </c>
      <c r="B54" s="53"/>
      <c r="C54" s="53"/>
      <c r="D54" s="53"/>
      <c r="E54" s="53"/>
    </row>
    <row r="55" spans="1:5" x14ac:dyDescent="0.25">
      <c r="A55" s="5" t="s">
        <v>160</v>
      </c>
    </row>
    <row r="56" spans="1:5" s="38" customFormat="1" x14ac:dyDescent="0.3">
      <c r="A56" s="5" t="s">
        <v>161</v>
      </c>
      <c r="B56" s="55"/>
      <c r="C56" s="55"/>
      <c r="D56" s="55"/>
      <c r="E56" s="55"/>
    </row>
    <row r="57" spans="1:5" s="38" customFormat="1" x14ac:dyDescent="0.3">
      <c r="A57" s="5" t="s">
        <v>162</v>
      </c>
      <c r="B57" s="55"/>
      <c r="C57" s="55"/>
      <c r="D57" s="55"/>
      <c r="E57" s="55"/>
    </row>
    <row r="60" spans="1:5" x14ac:dyDescent="0.25">
      <c r="A60" s="364" t="s">
        <v>1060</v>
      </c>
      <c r="B60" s="364"/>
      <c r="C60" s="364"/>
      <c r="D60" s="364"/>
      <c r="E60" s="364"/>
    </row>
    <row r="61" spans="1:5" x14ac:dyDescent="0.25">
      <c r="A61" s="364"/>
      <c r="B61" s="364"/>
      <c r="C61" s="364"/>
      <c r="D61" s="364"/>
      <c r="E61" s="364"/>
    </row>
  </sheetData>
  <sheetProtection algorithmName="SHA-512" hashValue="az/nmeW7l87wg7dhALcHfEFp51u8wYwFC+0Cw+a8Ab9xa3L0ROtACzfvDccPAiWe99m4GBerDZtCeEKufh+eTA==" saltValue="IgmoDi1LCYPISPH5n+VRSg==" spinCount="100000" sheet="1" formatCells="0" formatColumns="0" formatRows="0" insertColumns="0" insertRows="0" insertHyperlinks="0" deleteColumns="0" deleteRows="0" sort="0" autoFilter="0" pivotTables="0"/>
  <mergeCells count="1">
    <mergeCell ref="A60:E61"/>
  </mergeCells>
  <hyperlinks>
    <hyperlink ref="A2" location="Index!H22" display="[Back to Index]" xr:uid="{FAB266C4-254D-4D0C-A0E5-B76BAC7BB9D9}"/>
  </hyperlink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2459-C3FC-4B91-9A41-0A032FD99678}">
  <sheetPr codeName="Sheet49">
    <tabColor rgb="FFBFDDAB"/>
  </sheetPr>
  <dimension ref="A1:E66"/>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6640625" style="18"/>
  </cols>
  <sheetData>
    <row r="1" spans="1:5" s="5" customFormat="1" ht="17.399999999999999" x14ac:dyDescent="0.25">
      <c r="A1" s="112" t="s">
        <v>7</v>
      </c>
      <c r="B1" s="2" t="s">
        <v>73</v>
      </c>
      <c r="C1" s="3">
        <v>165.7278</v>
      </c>
      <c r="D1" s="4" t="s">
        <v>1045</v>
      </c>
    </row>
    <row r="2" spans="1:5" s="5" customFormat="1" x14ac:dyDescent="0.25">
      <c r="A2" s="324" t="s">
        <v>74</v>
      </c>
      <c r="C2" s="3">
        <v>5.0073259999999999</v>
      </c>
      <c r="D2" s="4" t="s">
        <v>1046</v>
      </c>
    </row>
    <row r="3" spans="1:5" s="5" customFormat="1" x14ac:dyDescent="0.3">
      <c r="B3" s="38"/>
      <c r="D3" s="7"/>
    </row>
    <row r="4" spans="1:5" s="10" customFormat="1" x14ac:dyDescent="0.3">
      <c r="A4" s="8" t="s">
        <v>75</v>
      </c>
      <c r="B4" s="9" t="s">
        <v>251</v>
      </c>
      <c r="C4" s="9" t="s">
        <v>77</v>
      </c>
      <c r="D4" s="115" t="s">
        <v>78</v>
      </c>
      <c r="E4" s="116" t="s">
        <v>79</v>
      </c>
    </row>
    <row r="5" spans="1:5" s="15" customFormat="1" ht="60" x14ac:dyDescent="0.25">
      <c r="A5" s="11" t="s">
        <v>80</v>
      </c>
      <c r="B5" s="12">
        <f>SUM(B6:B7)</f>
        <v>0</v>
      </c>
      <c r="C5" s="12">
        <f>SUM(C6:C7)</f>
        <v>0</v>
      </c>
      <c r="D5" s="13"/>
      <c r="E5" s="14"/>
    </row>
    <row r="6" spans="1:5" s="15" customFormat="1" ht="33.75" customHeight="1" x14ac:dyDescent="0.25">
      <c r="A6" s="14" t="s">
        <v>81</v>
      </c>
      <c r="B6" s="16"/>
      <c r="C6" s="16"/>
      <c r="D6" s="56"/>
      <c r="E6" s="14"/>
    </row>
    <row r="7" spans="1:5" s="15" customFormat="1" ht="65.400000000000006" customHeight="1" x14ac:dyDescent="0.25">
      <c r="A7" s="14" t="s">
        <v>84</v>
      </c>
      <c r="B7" s="17"/>
      <c r="C7" s="17"/>
      <c r="D7" s="13" t="s">
        <v>276</v>
      </c>
      <c r="E7" s="14" t="s">
        <v>277</v>
      </c>
    </row>
    <row r="8" spans="1:5" ht="30" x14ac:dyDescent="0.25">
      <c r="A8" s="11" t="s">
        <v>87</v>
      </c>
      <c r="B8" s="12">
        <f>SUM(B9:B11)</f>
        <v>9000000000</v>
      </c>
      <c r="C8" s="12">
        <f>SUM(C9:C11)</f>
        <v>9955752212.3893795</v>
      </c>
      <c r="D8" s="13"/>
      <c r="E8" s="14"/>
    </row>
    <row r="9" spans="1:5" ht="48.75" customHeight="1" x14ac:dyDescent="0.25">
      <c r="A9" s="14" t="s">
        <v>88</v>
      </c>
      <c r="B9" s="134"/>
      <c r="C9" s="16"/>
      <c r="E9" s="14"/>
    </row>
    <row r="10" spans="1:5" ht="45" x14ac:dyDescent="0.25">
      <c r="A10" s="14" t="s">
        <v>90</v>
      </c>
      <c r="B10" s="16"/>
      <c r="C10" s="16"/>
      <c r="D10" s="13"/>
      <c r="E10" s="14"/>
    </row>
    <row r="11" spans="1:5" ht="64.2" customHeight="1" x14ac:dyDescent="0.25">
      <c r="A11" s="14" t="s">
        <v>92</v>
      </c>
      <c r="B11" s="16">
        <f>9*10^9</f>
        <v>9000000000</v>
      </c>
      <c r="C11" s="16">
        <f>B11/$B$36</f>
        <v>9955752212.3893795</v>
      </c>
      <c r="D11" s="33" t="s">
        <v>278</v>
      </c>
      <c r="E11" s="14" t="s">
        <v>257</v>
      </c>
    </row>
    <row r="12" spans="1:5" ht="45" x14ac:dyDescent="0.25">
      <c r="A12" s="11" t="s">
        <v>93</v>
      </c>
      <c r="B12" s="12">
        <f>SUM(B13:B14)</f>
        <v>0</v>
      </c>
      <c r="C12" s="12">
        <f>SUM(C13:C14)</f>
        <v>0</v>
      </c>
      <c r="D12" s="13"/>
      <c r="E12" s="14"/>
    </row>
    <row r="13" spans="1:5" ht="45" x14ac:dyDescent="0.25">
      <c r="A13" s="14" t="s">
        <v>94</v>
      </c>
      <c r="B13" s="16"/>
      <c r="C13" s="16"/>
      <c r="D13" s="13"/>
      <c r="E13" s="14"/>
    </row>
    <row r="14" spans="1:5" ht="60.6" customHeight="1" x14ac:dyDescent="0.25">
      <c r="A14" s="14" t="s">
        <v>96</v>
      </c>
      <c r="B14" s="16"/>
      <c r="C14" s="19">
        <f>B14/$B$36</f>
        <v>0</v>
      </c>
      <c r="D14" s="13" t="s">
        <v>279</v>
      </c>
      <c r="E14" s="14" t="s">
        <v>257</v>
      </c>
    </row>
    <row r="15" spans="1:5" ht="45" x14ac:dyDescent="0.25">
      <c r="A15" s="11" t="s">
        <v>97</v>
      </c>
      <c r="B15" s="12"/>
      <c r="C15" s="12"/>
      <c r="D15" s="13"/>
      <c r="E15" s="14"/>
    </row>
    <row r="16" spans="1:5" ht="30" x14ac:dyDescent="0.25">
      <c r="A16" s="11" t="s">
        <v>98</v>
      </c>
      <c r="B16" s="12">
        <f>SUM(B17:B18)</f>
        <v>29339000000</v>
      </c>
      <c r="C16" s="12">
        <f>SUM(C17:C18)</f>
        <v>32454646017.699116</v>
      </c>
      <c r="D16" s="13"/>
      <c r="E16" s="14"/>
    </row>
    <row r="17" spans="1:5" ht="67.05" customHeight="1" x14ac:dyDescent="0.25">
      <c r="A17" s="13" t="s">
        <v>99</v>
      </c>
      <c r="B17" s="16">
        <f>(100+60+130+36+13)*10^6</f>
        <v>339000000</v>
      </c>
      <c r="C17" s="16">
        <f>B17/$B$36</f>
        <v>375000000</v>
      </c>
      <c r="D17" s="13" t="s">
        <v>280</v>
      </c>
      <c r="E17" s="14" t="s">
        <v>257</v>
      </c>
    </row>
    <row r="18" spans="1:5" ht="69.599999999999994" customHeight="1" x14ac:dyDescent="0.25">
      <c r="A18" s="13" t="s">
        <v>101</v>
      </c>
      <c r="B18" s="16">
        <f>(15+4+10)*10^9</f>
        <v>29000000000</v>
      </c>
      <c r="C18" s="16">
        <f>B18/$B$36</f>
        <v>32079646017.699116</v>
      </c>
      <c r="D18" s="33" t="s">
        <v>281</v>
      </c>
      <c r="E18" s="14" t="s">
        <v>257</v>
      </c>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B22+B24</f>
        <v>0</v>
      </c>
      <c r="C21" s="12">
        <f>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16"/>
      <c r="C24" s="16"/>
      <c r="D24" s="13"/>
      <c r="E24" s="14"/>
    </row>
    <row r="25" spans="1:5" x14ac:dyDescent="0.25">
      <c r="A25" s="13" t="s">
        <v>109</v>
      </c>
      <c r="B25" s="16"/>
      <c r="C25" s="16"/>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9">
        <f>SUM(B30:B31)</f>
        <v>0</v>
      </c>
      <c r="C29" s="19">
        <f>SUM(C30:C31)</f>
        <v>0</v>
      </c>
      <c r="D29" s="13"/>
      <c r="E29" s="14"/>
    </row>
    <row r="30" spans="1:5" x14ac:dyDescent="0.25">
      <c r="A30" s="25" t="s">
        <v>117</v>
      </c>
      <c r="B30" s="119"/>
      <c r="C30" s="119"/>
      <c r="D30" s="27"/>
      <c r="E30" s="28"/>
    </row>
    <row r="31" spans="1:5" x14ac:dyDescent="0.25">
      <c r="A31" s="25" t="s">
        <v>118</v>
      </c>
      <c r="B31" s="119"/>
      <c r="C31" s="119"/>
      <c r="D31" s="25"/>
      <c r="E31" s="29"/>
    </row>
    <row r="32" spans="1:5" ht="16.649999999999999" customHeight="1" x14ac:dyDescent="0.25">
      <c r="A32" s="11" t="s">
        <v>119</v>
      </c>
      <c r="B32" s="12"/>
      <c r="C32" s="20">
        <f>B32/$B$36</f>
        <v>0</v>
      </c>
      <c r="D32" s="13"/>
      <c r="E32" s="117"/>
    </row>
    <row r="33" spans="1:5" x14ac:dyDescent="0.25">
      <c r="A33" s="31"/>
      <c r="B33" s="120"/>
      <c r="C33" s="120"/>
      <c r="D33" s="33"/>
      <c r="E33" s="34"/>
    </row>
    <row r="34" spans="1:5" x14ac:dyDescent="0.25">
      <c r="A34" s="35" t="s">
        <v>120</v>
      </c>
      <c r="B34" s="132">
        <f>(SUM(B5,B8,B12,B15,B16))</f>
        <v>38339000000</v>
      </c>
      <c r="C34" s="132">
        <f>(SUM(C5,C8,C12,C15,C16))</f>
        <v>42410398230.088493</v>
      </c>
    </row>
    <row r="35" spans="1:5" x14ac:dyDescent="0.25">
      <c r="A35" s="31"/>
      <c r="B35" s="39"/>
      <c r="C35" s="40"/>
    </row>
    <row r="36" spans="1:5" x14ac:dyDescent="0.25">
      <c r="A36" s="31" t="s">
        <v>121</v>
      </c>
      <c r="B36" s="122">
        <v>0.90400000000000003</v>
      </c>
      <c r="C36" s="123"/>
    </row>
    <row r="37" spans="1:5" x14ac:dyDescent="0.25">
      <c r="A37" s="43" t="s">
        <v>122</v>
      </c>
      <c r="B37" s="124">
        <v>398650000000</v>
      </c>
      <c r="C37" s="135">
        <v>447718000000</v>
      </c>
    </row>
    <row r="38" spans="1:5" x14ac:dyDescent="0.25">
      <c r="A38" s="43" t="s">
        <v>123</v>
      </c>
      <c r="B38" s="44">
        <v>8847037</v>
      </c>
      <c r="C38" s="44"/>
    </row>
    <row r="39" spans="1:5" x14ac:dyDescent="0.25">
      <c r="A39" s="43"/>
      <c r="B39" s="44"/>
      <c r="C39" s="44"/>
    </row>
    <row r="40" spans="1:5" x14ac:dyDescent="0.25">
      <c r="A40" s="5"/>
      <c r="B40" s="46" t="s">
        <v>282</v>
      </c>
      <c r="C40" s="47" t="s">
        <v>125</v>
      </c>
    </row>
    <row r="41" spans="1:5" x14ac:dyDescent="0.25">
      <c r="A41" s="43" t="s">
        <v>126</v>
      </c>
      <c r="B41" s="48">
        <f>$B37/$B$38</f>
        <v>45060.284025035726</v>
      </c>
      <c r="C41" s="48">
        <f>$C37/$B$38</f>
        <v>50606.547706311161</v>
      </c>
    </row>
    <row r="42" spans="1:5" x14ac:dyDescent="0.25">
      <c r="A42" s="43" t="s">
        <v>127</v>
      </c>
      <c r="B42" s="49">
        <f>($B34/$B37)*100</f>
        <v>9.6172080772607558</v>
      </c>
      <c r="C42" s="49"/>
    </row>
    <row r="43" spans="1:5" x14ac:dyDescent="0.25">
      <c r="A43" s="43" t="s">
        <v>128</v>
      </c>
      <c r="B43" s="50">
        <f>$B34/$B$38</f>
        <v>4333.5412748923736</v>
      </c>
      <c r="C43" s="50">
        <f>$C34/$B$38</f>
        <v>4793.7403483322714</v>
      </c>
    </row>
    <row r="44" spans="1:5" x14ac:dyDescent="0.25">
      <c r="A44" s="43"/>
      <c r="B44" s="50"/>
      <c r="C44" s="50"/>
    </row>
    <row r="45" spans="1:5" x14ac:dyDescent="0.25">
      <c r="A45" s="335" t="s">
        <v>1052</v>
      </c>
      <c r="B45" s="50"/>
      <c r="C45" s="50"/>
    </row>
    <row r="46" spans="1:5" x14ac:dyDescent="0.25">
      <c r="A46" s="43"/>
      <c r="B46" s="50"/>
      <c r="C46" s="50"/>
    </row>
    <row r="47" spans="1:5" x14ac:dyDescent="0.25">
      <c r="A47" s="75"/>
      <c r="B47" s="79"/>
      <c r="C47" s="70"/>
      <c r="E47" s="70"/>
    </row>
    <row r="48" spans="1:5" x14ac:dyDescent="0.25">
      <c r="A48" s="75" t="s">
        <v>129</v>
      </c>
      <c r="B48" s="70"/>
      <c r="C48" s="70"/>
      <c r="E48" s="70"/>
    </row>
    <row r="49" spans="1:5" ht="15.6" customHeight="1" x14ac:dyDescent="0.25">
      <c r="A49" s="18" t="s">
        <v>283</v>
      </c>
      <c r="B49" s="136"/>
      <c r="C49" s="136"/>
      <c r="D49" s="137"/>
      <c r="E49" s="137"/>
    </row>
    <row r="50" spans="1:5" ht="15.6" customHeight="1" x14ac:dyDescent="0.25">
      <c r="A50" s="18" t="s">
        <v>277</v>
      </c>
      <c r="B50" s="136"/>
      <c r="C50" s="136"/>
      <c r="D50" s="137"/>
      <c r="E50" s="137"/>
    </row>
    <row r="51" spans="1:5" ht="15.6" customHeight="1" x14ac:dyDescent="0.25">
      <c r="A51" s="136"/>
      <c r="B51" s="136"/>
      <c r="C51" s="136"/>
      <c r="D51" s="137"/>
      <c r="E51" s="137"/>
    </row>
    <row r="52" spans="1:5" ht="15.6" customHeight="1" x14ac:dyDescent="0.25">
      <c r="A52" s="37"/>
      <c r="B52" s="138"/>
      <c r="C52" s="138"/>
      <c r="D52" s="139"/>
      <c r="E52" s="70"/>
    </row>
    <row r="53" spans="1:5" x14ac:dyDescent="0.25">
      <c r="A53" s="75" t="s">
        <v>131</v>
      </c>
      <c r="B53" s="70"/>
      <c r="C53" s="70"/>
      <c r="E53" s="70"/>
    </row>
    <row r="54" spans="1:5" s="38" customFormat="1" x14ac:dyDescent="0.25">
      <c r="A54" s="18" t="s">
        <v>284</v>
      </c>
      <c r="B54" s="37"/>
      <c r="C54" s="37"/>
      <c r="D54" s="70"/>
      <c r="E54" s="70"/>
    </row>
    <row r="55" spans="1:5" s="38" customFormat="1" x14ac:dyDescent="0.25">
      <c r="A55" s="18" t="s">
        <v>285</v>
      </c>
      <c r="B55" s="37"/>
      <c r="C55" s="37"/>
      <c r="D55" s="70"/>
      <c r="E55" s="70"/>
    </row>
    <row r="56" spans="1:5" s="38" customFormat="1" x14ac:dyDescent="0.25">
      <c r="A56" s="18" t="s">
        <v>286</v>
      </c>
      <c r="B56" s="18"/>
      <c r="C56" s="18"/>
    </row>
    <row r="57" spans="1:5" s="38" customFormat="1" x14ac:dyDescent="0.25">
      <c r="A57" s="18" t="s">
        <v>287</v>
      </c>
      <c r="D57" s="70"/>
    </row>
    <row r="58" spans="1:5" s="38" customFormat="1" x14ac:dyDescent="0.3">
      <c r="A58" s="5"/>
      <c r="D58" s="70"/>
    </row>
    <row r="59" spans="1:5" s="38" customFormat="1" x14ac:dyDescent="0.3">
      <c r="D59" s="70"/>
    </row>
    <row r="60" spans="1:5" s="38" customFormat="1" x14ac:dyDescent="0.3">
      <c r="A60" s="364" t="s">
        <v>1068</v>
      </c>
      <c r="B60" s="364"/>
      <c r="C60" s="364"/>
      <c r="D60" s="364"/>
      <c r="E60" s="364"/>
    </row>
    <row r="61" spans="1:5" s="38" customFormat="1" x14ac:dyDescent="0.3">
      <c r="A61" s="364"/>
      <c r="B61" s="364"/>
      <c r="C61" s="364"/>
      <c r="D61" s="364"/>
      <c r="E61" s="364"/>
    </row>
    <row r="62" spans="1:5" s="38" customFormat="1" x14ac:dyDescent="0.3">
      <c r="A62" s="5"/>
      <c r="D62" s="70"/>
    </row>
    <row r="63" spans="1:5" s="38" customFormat="1" x14ac:dyDescent="0.3">
      <c r="A63" s="5"/>
      <c r="D63" s="70"/>
    </row>
    <row r="64" spans="1:5" s="38" customFormat="1" x14ac:dyDescent="0.3">
      <c r="A64" s="5"/>
      <c r="D64" s="70"/>
    </row>
    <row r="65" spans="1:4" s="38" customFormat="1" x14ac:dyDescent="0.3">
      <c r="A65" s="5"/>
      <c r="D65" s="70"/>
    </row>
    <row r="66" spans="1:4" s="38" customFormat="1" x14ac:dyDescent="0.3">
      <c r="A66" s="5"/>
      <c r="D66" s="70"/>
    </row>
  </sheetData>
  <sheetProtection algorithmName="SHA-512" hashValue="Yx8XVTvPNSqqSJfJ6PSvcEyxQUcuN1t1FZ+4jfOlOj408YIZGVV6ZfNjqe5lluDS8tophozbDus+nUc8JvpAVA==" saltValue="QU+xQxrzMVfkZ20A1zYnPA==" spinCount="100000" sheet="1" formatCells="0" formatColumns="0" formatRows="0" insertColumns="0" insertRows="0" insertHyperlinks="0" deleteColumns="0" deleteRows="0" sort="0" autoFilter="0" pivotTables="0"/>
  <mergeCells count="1">
    <mergeCell ref="A60:E61"/>
  </mergeCells>
  <hyperlinks>
    <hyperlink ref="A2" location="Index!H23" display="[Back to Index]" xr:uid="{BE9F9EBF-90C7-4088-92C1-A37650C1C79E}"/>
  </hyperlink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B362-AC8E-403E-B039-2BD187205DA4}">
  <sheetPr codeName="Sheet5">
    <tabColor theme="7" tint="0.79998168889431442"/>
  </sheetPr>
  <dimension ref="A1:E64"/>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724</v>
      </c>
      <c r="B1" s="2" t="s">
        <v>73</v>
      </c>
      <c r="C1" s="80">
        <v>0.26906439999999998</v>
      </c>
      <c r="D1" s="4" t="s">
        <v>1045</v>
      </c>
    </row>
    <row r="2" spans="1:5" s="5" customFormat="1" x14ac:dyDescent="0.25">
      <c r="A2" s="324" t="s">
        <v>74</v>
      </c>
      <c r="C2" s="80">
        <v>0</v>
      </c>
      <c r="D2" s="4" t="s">
        <v>1046</v>
      </c>
    </row>
    <row r="3" spans="1:5" x14ac:dyDescent="0.25">
      <c r="A3" s="154"/>
      <c r="B3" s="222"/>
      <c r="C3" s="142"/>
    </row>
    <row r="4" spans="1:5" s="10" customFormat="1" x14ac:dyDescent="0.3">
      <c r="A4" s="8" t="s">
        <v>75</v>
      </c>
      <c r="B4" s="9" t="s">
        <v>725</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60" x14ac:dyDescent="0.25">
      <c r="A7" s="14" t="s">
        <v>84</v>
      </c>
      <c r="B7" s="17"/>
      <c r="C7" s="17"/>
      <c r="D7" s="13" t="s">
        <v>726</v>
      </c>
      <c r="E7" s="14" t="s">
        <v>681</v>
      </c>
    </row>
    <row r="8" spans="1:5" ht="30" x14ac:dyDescent="0.25">
      <c r="A8" s="11" t="s">
        <v>87</v>
      </c>
      <c r="B8" s="12">
        <f>SUM(B9:B11)</f>
        <v>0</v>
      </c>
      <c r="C8" s="12">
        <f>SUM(C9:C11)</f>
        <v>0</v>
      </c>
      <c r="D8" s="13"/>
      <c r="E8" s="14"/>
    </row>
    <row r="9" spans="1:5" ht="60" x14ac:dyDescent="0.25">
      <c r="A9" s="14" t="s">
        <v>88</v>
      </c>
      <c r="B9" s="16"/>
      <c r="C9" s="16"/>
      <c r="D9" s="13"/>
      <c r="E9" s="14"/>
    </row>
    <row r="10" spans="1:5" ht="105" x14ac:dyDescent="0.25">
      <c r="A10" s="14" t="s">
        <v>90</v>
      </c>
      <c r="B10" s="16"/>
      <c r="C10" s="16"/>
      <c r="D10" s="13" t="s">
        <v>727</v>
      </c>
      <c r="E10" s="14" t="s">
        <v>686</v>
      </c>
    </row>
    <row r="11" spans="1:5" x14ac:dyDescent="0.25">
      <c r="A11" s="14" t="s">
        <v>92</v>
      </c>
      <c r="B11" s="19"/>
      <c r="C11" s="19"/>
      <c r="D11" s="13"/>
      <c r="E11" s="14"/>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168" customHeight="1" x14ac:dyDescent="0.25">
      <c r="A16" s="11" t="s">
        <v>98</v>
      </c>
      <c r="B16" s="12">
        <f>10*10^9</f>
        <v>10000000000</v>
      </c>
      <c r="C16" s="12">
        <f>B16/$B$36</f>
        <v>1124160.8701185002</v>
      </c>
      <c r="D16" s="13" t="s">
        <v>728</v>
      </c>
      <c r="E16" s="14" t="s">
        <v>686</v>
      </c>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160119432000</v>
      </c>
      <c r="C26" s="12">
        <f>SUM(C27:C29)</f>
        <v>18000000</v>
      </c>
      <c r="D26" s="13"/>
      <c r="E26" s="14"/>
    </row>
    <row r="27" spans="1:5" x14ac:dyDescent="0.25">
      <c r="A27" s="13" t="s">
        <v>112</v>
      </c>
      <c r="B27" s="16"/>
      <c r="C27" s="16"/>
      <c r="D27" s="13"/>
      <c r="E27" s="14"/>
    </row>
    <row r="28" spans="1:5" ht="60" x14ac:dyDescent="0.25">
      <c r="A28" s="13" t="s">
        <v>115</v>
      </c>
      <c r="B28" s="16"/>
      <c r="C28" s="16"/>
      <c r="D28" s="13" t="s">
        <v>729</v>
      </c>
      <c r="E28" s="14" t="s">
        <v>686</v>
      </c>
    </row>
    <row r="29" spans="1:5" x14ac:dyDescent="0.25">
      <c r="A29" s="13" t="s">
        <v>116</v>
      </c>
      <c r="B29" s="16">
        <f>SUM(B30:B31)</f>
        <v>160119432000</v>
      </c>
      <c r="C29" s="16">
        <f>SUM(C30:C31)</f>
        <v>18000000</v>
      </c>
      <c r="D29" s="13"/>
      <c r="E29" s="14"/>
    </row>
    <row r="30" spans="1:5" x14ac:dyDescent="0.25">
      <c r="A30" s="13" t="s">
        <v>117</v>
      </c>
      <c r="B30" s="16"/>
      <c r="C30" s="16"/>
      <c r="D30" s="83"/>
      <c r="E30" s="24"/>
    </row>
    <row r="31" spans="1:5" ht="96.6" customHeight="1" x14ac:dyDescent="0.25">
      <c r="A31" s="13" t="s">
        <v>118</v>
      </c>
      <c r="B31" s="19">
        <f>C31*$B$36</f>
        <v>160119432000</v>
      </c>
      <c r="C31" s="19">
        <f>18*10^6</f>
        <v>18000000</v>
      </c>
      <c r="D31" s="13" t="s">
        <v>730</v>
      </c>
      <c r="E31" s="14" t="s">
        <v>731</v>
      </c>
    </row>
    <row r="32" spans="1:5" ht="75" x14ac:dyDescent="0.25">
      <c r="A32" s="11" t="s">
        <v>119</v>
      </c>
      <c r="B32" s="30"/>
      <c r="C32" s="12"/>
      <c r="D32" s="13" t="s">
        <v>732</v>
      </c>
      <c r="E32" s="14" t="s">
        <v>686</v>
      </c>
    </row>
    <row r="33" spans="1:5" x14ac:dyDescent="0.25">
      <c r="A33" s="31"/>
      <c r="B33" s="120"/>
      <c r="C33" s="120"/>
      <c r="D33" s="33"/>
      <c r="E33" s="34"/>
    </row>
    <row r="34" spans="1:5" x14ac:dyDescent="0.25">
      <c r="A34" s="35" t="s">
        <v>120</v>
      </c>
      <c r="B34" s="39">
        <f>SUM(B5,B8,B12,B15,B16)</f>
        <v>10000000000</v>
      </c>
      <c r="C34" s="39">
        <f>SUM(C5,C8,C12,C15,C16)</f>
        <v>1124160.8701185002</v>
      </c>
    </row>
    <row r="35" spans="1:5" x14ac:dyDescent="0.25">
      <c r="A35" s="31"/>
      <c r="B35" s="39"/>
      <c r="C35" s="40"/>
    </row>
    <row r="36" spans="1:5" x14ac:dyDescent="0.25">
      <c r="A36" s="31" t="s">
        <v>121</v>
      </c>
      <c r="B36" s="88">
        <v>8895.5239999999994</v>
      </c>
      <c r="C36" s="42"/>
    </row>
    <row r="37" spans="1:5" x14ac:dyDescent="0.25">
      <c r="A37" s="43" t="s">
        <v>122</v>
      </c>
      <c r="B37" s="45">
        <v>164147000000000</v>
      </c>
      <c r="C37" s="45">
        <v>19127000000</v>
      </c>
    </row>
    <row r="38" spans="1:5" x14ac:dyDescent="0.25">
      <c r="A38" s="43" t="s">
        <v>123</v>
      </c>
      <c r="B38" s="45">
        <v>7061507</v>
      </c>
      <c r="C38" s="45"/>
    </row>
    <row r="39" spans="1:5" x14ac:dyDescent="0.25">
      <c r="A39" s="43"/>
      <c r="B39" s="44"/>
      <c r="C39" s="44"/>
    </row>
    <row r="40" spans="1:5" x14ac:dyDescent="0.25">
      <c r="A40" s="5"/>
      <c r="B40" s="46" t="s">
        <v>733</v>
      </c>
      <c r="C40" s="47" t="s">
        <v>125</v>
      </c>
    </row>
    <row r="41" spans="1:5" x14ac:dyDescent="0.25">
      <c r="A41" s="43" t="s">
        <v>126</v>
      </c>
      <c r="B41" s="48">
        <f>$B37/$B38</f>
        <v>23245321.43068045</v>
      </c>
      <c r="C41" s="48">
        <f>$C37/$B$38</f>
        <v>2708.6286255894101</v>
      </c>
    </row>
    <row r="42" spans="1:5" x14ac:dyDescent="0.25">
      <c r="A42" s="43" t="s">
        <v>127</v>
      </c>
      <c r="B42" s="49">
        <f>($B34/$B37)*100</f>
        <v>6.0921003734457531E-3</v>
      </c>
      <c r="C42" s="49"/>
    </row>
    <row r="43" spans="1:5" x14ac:dyDescent="0.25">
      <c r="A43" s="43" t="s">
        <v>128</v>
      </c>
      <c r="B43" s="50">
        <f>$B34/$B$38</f>
        <v>1416.1283136871493</v>
      </c>
      <c r="C43" s="50">
        <f>$C34/$B$38</f>
        <v>0.15919560373139902</v>
      </c>
    </row>
    <row r="44" spans="1:5" x14ac:dyDescent="0.25">
      <c r="A44" s="43"/>
      <c r="B44" s="50"/>
      <c r="C44" s="50"/>
    </row>
    <row r="45" spans="1:5" x14ac:dyDescent="0.25">
      <c r="A45" s="335" t="s">
        <v>1052</v>
      </c>
      <c r="B45" s="50"/>
      <c r="C45" s="50"/>
    </row>
    <row r="46" spans="1:5" x14ac:dyDescent="0.25">
      <c r="A46" s="43"/>
      <c r="B46" s="50"/>
      <c r="C46" s="50"/>
    </row>
    <row r="47" spans="1:5" x14ac:dyDescent="0.25">
      <c r="A47" s="43"/>
      <c r="B47" s="51"/>
    </row>
    <row r="48" spans="1:5" x14ac:dyDescent="0.25">
      <c r="A48" s="75" t="s">
        <v>129</v>
      </c>
    </row>
    <row r="49" spans="1:5" ht="15.45" customHeight="1" x14ac:dyDescent="0.25">
      <c r="A49" s="52" t="s">
        <v>734</v>
      </c>
      <c r="B49" s="53"/>
      <c r="C49" s="53"/>
      <c r="D49" s="53"/>
      <c r="E49" s="53"/>
    </row>
    <row r="50" spans="1:5" ht="15.45" customHeight="1" x14ac:dyDescent="0.25">
      <c r="A50" s="52" t="s">
        <v>136</v>
      </c>
      <c r="B50" s="53"/>
      <c r="C50" s="53"/>
      <c r="D50" s="53"/>
      <c r="E50" s="53"/>
    </row>
    <row r="51" spans="1:5" ht="15.45" customHeight="1" x14ac:dyDescent="0.25">
      <c r="A51" s="53"/>
      <c r="B51" s="53"/>
      <c r="C51" s="53"/>
      <c r="D51" s="53"/>
      <c r="E51" s="53"/>
    </row>
    <row r="53" spans="1:5" x14ac:dyDescent="0.25">
      <c r="A53" s="43" t="s">
        <v>131</v>
      </c>
    </row>
    <row r="54" spans="1:5" s="38" customFormat="1" x14ac:dyDescent="0.3">
      <c r="A54" s="365" t="s">
        <v>735</v>
      </c>
      <c r="B54" s="365"/>
      <c r="C54" s="365"/>
      <c r="D54" s="365"/>
      <c r="E54" s="365"/>
    </row>
    <row r="55" spans="1:5" s="38" customFormat="1" x14ac:dyDescent="0.3">
      <c r="A55" s="365"/>
      <c r="B55" s="365"/>
      <c r="C55" s="365"/>
      <c r="D55" s="365"/>
      <c r="E55" s="365"/>
    </row>
    <row r="56" spans="1:5" s="38" customFormat="1" x14ac:dyDescent="0.3">
      <c r="A56" s="38" t="s">
        <v>736</v>
      </c>
      <c r="B56" s="34"/>
      <c r="C56" s="34"/>
      <c r="D56" s="34"/>
      <c r="E56" s="34"/>
    </row>
    <row r="57" spans="1:5" s="38" customFormat="1" x14ac:dyDescent="0.25">
      <c r="A57" s="5" t="s">
        <v>737</v>
      </c>
      <c r="D57" s="37"/>
    </row>
    <row r="58" spans="1:5" s="38" customFormat="1" x14ac:dyDescent="0.25">
      <c r="A58" s="38" t="s">
        <v>738</v>
      </c>
      <c r="D58" s="37"/>
    </row>
    <row r="59" spans="1:5" s="38" customFormat="1" x14ac:dyDescent="0.25">
      <c r="A59" s="5" t="s">
        <v>739</v>
      </c>
      <c r="D59" s="37"/>
    </row>
    <row r="60" spans="1:5" s="38" customFormat="1" x14ac:dyDescent="0.25">
      <c r="A60" s="5" t="s">
        <v>740</v>
      </c>
      <c r="D60" s="37"/>
    </row>
    <row r="63" spans="1:5" x14ac:dyDescent="0.25">
      <c r="A63" s="364" t="s">
        <v>1061</v>
      </c>
      <c r="B63" s="364"/>
      <c r="C63" s="364"/>
      <c r="D63" s="364"/>
      <c r="E63" s="364"/>
    </row>
    <row r="64" spans="1:5" x14ac:dyDescent="0.25">
      <c r="A64" s="364"/>
      <c r="B64" s="364"/>
      <c r="C64" s="364"/>
      <c r="D64" s="364"/>
      <c r="E64" s="364"/>
    </row>
  </sheetData>
  <sheetProtection algorithmName="SHA-512" hashValue="sO5KZ2XqsWoIkJ2TYY40yLbPKo3zXyAN20VZT/cQnGC6KgovuVtaMW0dmt+zUGxfTnafKi2wi5Zh5mpt1w2Rtw==" saltValue="ZGNuJQAWepdaNlBXTmaanA==" spinCount="100000" sheet="1" formatCells="0" formatColumns="0" formatRows="0" insertColumns="0" insertRows="0" insertHyperlinks="0" deleteColumns="0" deleteRows="0" sort="0" autoFilter="0" pivotTables="0"/>
  <mergeCells count="2">
    <mergeCell ref="A54:E55"/>
    <mergeCell ref="A63:E64"/>
  </mergeCells>
  <hyperlinks>
    <hyperlink ref="A2" location="Index!B25" display="[Back to Index]" xr:uid="{8580D377-453A-4659-AF28-A6480D3D5928}"/>
  </hyperlinks>
  <pageMargins left="0.7" right="0.7" top="0.75" bottom="0.75" header="0.3" footer="0.3"/>
  <pageSetup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8314B-A711-400E-9CAF-67A267A6F026}">
  <sheetPr codeName="Sheet50">
    <tabColor rgb="FFBFDDAB"/>
  </sheetPr>
  <dimension ref="A1:E7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6640625" style="18"/>
  </cols>
  <sheetData>
    <row r="1" spans="1:5" s="5" customFormat="1" ht="17.399999999999999" x14ac:dyDescent="0.25">
      <c r="A1" s="112" t="s">
        <v>10</v>
      </c>
      <c r="B1" s="2" t="s">
        <v>73</v>
      </c>
      <c r="C1" s="3">
        <v>325.53649999999999</v>
      </c>
      <c r="D1" s="4" t="s">
        <v>1045</v>
      </c>
    </row>
    <row r="2" spans="1:5" s="5" customFormat="1" x14ac:dyDescent="0.25">
      <c r="A2" s="324" t="s">
        <v>74</v>
      </c>
      <c r="C2" s="3">
        <v>47.740920000000003</v>
      </c>
      <c r="D2" s="4" t="s">
        <v>1046</v>
      </c>
    </row>
    <row r="3" spans="1:5" s="5" customFormat="1" x14ac:dyDescent="0.3">
      <c r="B3" s="38"/>
      <c r="D3" s="7"/>
    </row>
    <row r="4" spans="1:5" s="10" customFormat="1" x14ac:dyDescent="0.3">
      <c r="A4" s="8" t="s">
        <v>75</v>
      </c>
      <c r="B4" s="9" t="s">
        <v>251</v>
      </c>
      <c r="C4" s="9" t="s">
        <v>77</v>
      </c>
      <c r="D4" s="115" t="s">
        <v>78</v>
      </c>
      <c r="E4" s="116" t="s">
        <v>79</v>
      </c>
    </row>
    <row r="5" spans="1:5" s="15" customFormat="1" ht="60" x14ac:dyDescent="0.25">
      <c r="A5" s="11" t="s">
        <v>80</v>
      </c>
      <c r="B5" s="12">
        <f>SUM(B6:B7)</f>
        <v>0</v>
      </c>
      <c r="C5" s="12">
        <f>SUM(C6:C7)</f>
        <v>0</v>
      </c>
      <c r="D5" s="13"/>
      <c r="E5" s="14"/>
    </row>
    <row r="6" spans="1:5" s="15" customFormat="1" ht="51.6" customHeight="1" x14ac:dyDescent="0.25">
      <c r="A6" s="14" t="s">
        <v>81</v>
      </c>
      <c r="B6" s="19"/>
      <c r="C6" s="16"/>
      <c r="D6" s="13"/>
      <c r="E6" s="14"/>
    </row>
    <row r="7" spans="1:5" s="15" customFormat="1" ht="45" x14ac:dyDescent="0.25">
      <c r="A7" s="14" t="s">
        <v>84</v>
      </c>
      <c r="B7" s="128"/>
      <c r="C7" s="128"/>
      <c r="D7" s="13"/>
      <c r="E7" s="14"/>
    </row>
    <row r="8" spans="1:5" ht="30" x14ac:dyDescent="0.25">
      <c r="A8" s="11" t="s">
        <v>87</v>
      </c>
      <c r="B8" s="12">
        <f>SUM(B9:B11)</f>
        <v>52800000000</v>
      </c>
      <c r="C8" s="12">
        <f>SUM(C9:C11)</f>
        <v>58407079646.0177</v>
      </c>
      <c r="D8" s="13"/>
      <c r="E8" s="14"/>
    </row>
    <row r="9" spans="1:5" ht="60" x14ac:dyDescent="0.25">
      <c r="A9" s="14" t="s">
        <v>88</v>
      </c>
      <c r="B9" s="16"/>
      <c r="C9" s="16"/>
      <c r="D9" s="13"/>
      <c r="E9" s="14"/>
    </row>
    <row r="10" spans="1:5" ht="62.4" customHeight="1" x14ac:dyDescent="0.25">
      <c r="A10" s="14" t="s">
        <v>90</v>
      </c>
      <c r="B10" s="16">
        <f>1*10^9</f>
        <v>1000000000</v>
      </c>
      <c r="C10" s="16">
        <f>B10/$B$36</f>
        <v>1106194690.2654867</v>
      </c>
      <c r="D10" s="13" t="s">
        <v>288</v>
      </c>
      <c r="E10" s="14" t="s">
        <v>257</v>
      </c>
    </row>
    <row r="11" spans="1:5" ht="67.2" customHeight="1" x14ac:dyDescent="0.25">
      <c r="A11" s="14" t="s">
        <v>92</v>
      </c>
      <c r="B11" s="16">
        <f>(50+1.8)*10^9</f>
        <v>51800000000</v>
      </c>
      <c r="C11" s="16">
        <f>B11/$B$36</f>
        <v>57300884955.752213</v>
      </c>
      <c r="D11" s="13" t="s">
        <v>289</v>
      </c>
      <c r="E11" s="14" t="s">
        <v>277</v>
      </c>
    </row>
    <row r="12" spans="1:5" ht="45" x14ac:dyDescent="0.25">
      <c r="A12" s="11" t="s">
        <v>93</v>
      </c>
      <c r="B12" s="12">
        <f>SUM(B13:B14)</f>
        <v>0</v>
      </c>
      <c r="C12" s="12">
        <f>SUM(C13:C14)</f>
        <v>0</v>
      </c>
      <c r="D12" s="13"/>
      <c r="E12" s="14"/>
    </row>
    <row r="13" spans="1:5" ht="45" x14ac:dyDescent="0.25">
      <c r="A13" s="14" t="s">
        <v>94</v>
      </c>
      <c r="B13" s="16"/>
      <c r="C13" s="16"/>
      <c r="D13" s="13"/>
      <c r="E13" s="14"/>
    </row>
    <row r="14" spans="1:5" x14ac:dyDescent="0.25">
      <c r="A14" s="14" t="s">
        <v>96</v>
      </c>
      <c r="B14" s="16"/>
      <c r="C14" s="16"/>
      <c r="D14" s="13"/>
      <c r="E14" s="14"/>
    </row>
    <row r="15" spans="1:5" ht="45" x14ac:dyDescent="0.25">
      <c r="A15" s="11" t="s">
        <v>97</v>
      </c>
      <c r="B15" s="12"/>
      <c r="C15" s="12"/>
      <c r="D15" s="13"/>
      <c r="E15" s="14"/>
    </row>
    <row r="16" spans="1:5" ht="82.5" customHeight="1" x14ac:dyDescent="0.25">
      <c r="A16" s="11" t="s">
        <v>98</v>
      </c>
      <c r="B16" s="12">
        <f>(10+1.7)*10^9</f>
        <v>11700000000</v>
      </c>
      <c r="C16" s="12">
        <f>B16/$B$36</f>
        <v>12942477876.106194</v>
      </c>
      <c r="D16" s="13" t="s">
        <v>290</v>
      </c>
      <c r="E16" s="14" t="s">
        <v>277</v>
      </c>
    </row>
    <row r="17" spans="1:5" x14ac:dyDescent="0.25">
      <c r="A17" s="13" t="s">
        <v>99</v>
      </c>
      <c r="B17" s="16"/>
      <c r="C17" s="16"/>
      <c r="D17" s="13"/>
      <c r="E17" s="14"/>
    </row>
    <row r="18" spans="1:5" x14ac:dyDescent="0.25">
      <c r="A18" s="13" t="s">
        <v>101</v>
      </c>
      <c r="B18" s="16"/>
      <c r="C18" s="16"/>
      <c r="D18" s="13"/>
      <c r="E18" s="14"/>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B22+B24</f>
        <v>0</v>
      </c>
      <c r="C21" s="12">
        <f>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16"/>
      <c r="C24" s="16"/>
      <c r="D24" s="13"/>
      <c r="E24" s="14"/>
    </row>
    <row r="25" spans="1:5" x14ac:dyDescent="0.25">
      <c r="A25" s="13" t="s">
        <v>109</v>
      </c>
      <c r="B25" s="16"/>
      <c r="C25" s="16"/>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x14ac:dyDescent="0.25">
      <c r="A28" s="13" t="s">
        <v>115</v>
      </c>
      <c r="B28" s="19"/>
      <c r="C28" s="19"/>
      <c r="D28" s="13"/>
      <c r="E28" s="14"/>
    </row>
    <row r="29" spans="1:5" x14ac:dyDescent="0.25">
      <c r="A29" s="13" t="s">
        <v>116</v>
      </c>
      <c r="B29" s="19">
        <f>SUM(B30:B31)</f>
        <v>0</v>
      </c>
      <c r="C29" s="19">
        <f>SUM(C30:C31)</f>
        <v>0</v>
      </c>
      <c r="D29" s="13"/>
      <c r="E29" s="14"/>
    </row>
    <row r="30" spans="1:5" x14ac:dyDescent="0.25">
      <c r="A30" s="25" t="s">
        <v>117</v>
      </c>
      <c r="B30" s="119"/>
      <c r="C30" s="119"/>
      <c r="D30" s="27"/>
      <c r="E30" s="28"/>
    </row>
    <row r="31" spans="1:5" x14ac:dyDescent="0.25">
      <c r="A31" s="25" t="s">
        <v>118</v>
      </c>
      <c r="B31" s="119"/>
      <c r="C31" s="119"/>
      <c r="D31" s="25"/>
      <c r="E31" s="29"/>
    </row>
    <row r="32" spans="1:5" x14ac:dyDescent="0.25">
      <c r="A32" s="11" t="s">
        <v>119</v>
      </c>
      <c r="B32" s="12"/>
      <c r="C32" s="12"/>
      <c r="D32" s="13"/>
      <c r="E32" s="14"/>
    </row>
    <row r="33" spans="1:5" x14ac:dyDescent="0.25">
      <c r="A33" s="31"/>
      <c r="B33" s="120"/>
      <c r="C33" s="120"/>
      <c r="D33" s="33"/>
      <c r="E33" s="34"/>
    </row>
    <row r="34" spans="1:5" x14ac:dyDescent="0.25">
      <c r="A34" s="35" t="s">
        <v>120</v>
      </c>
      <c r="B34" s="121">
        <f>(SUM(B5,B8,B12,B15,B16))</f>
        <v>64500000000</v>
      </c>
      <c r="C34" s="121">
        <f>(SUM(C5,C8,C12,C15,C16))</f>
        <v>71349557522.123901</v>
      </c>
    </row>
    <row r="35" spans="1:5" x14ac:dyDescent="0.25">
      <c r="A35" s="31"/>
      <c r="B35" s="39"/>
      <c r="C35" s="40"/>
    </row>
    <row r="36" spans="1:5" x14ac:dyDescent="0.25">
      <c r="A36" s="31" t="s">
        <v>121</v>
      </c>
      <c r="B36" s="122">
        <v>0.90400000000000003</v>
      </c>
      <c r="C36" s="123"/>
    </row>
    <row r="37" spans="1:5" x14ac:dyDescent="0.25">
      <c r="A37" s="43" t="s">
        <v>122</v>
      </c>
      <c r="B37" s="124">
        <v>460881000000</v>
      </c>
      <c r="C37" s="124">
        <v>517609000000</v>
      </c>
      <c r="D37" s="133"/>
    </row>
    <row r="38" spans="1:5" x14ac:dyDescent="0.25">
      <c r="A38" s="43" t="s">
        <v>123</v>
      </c>
      <c r="B38" s="44">
        <v>11422068</v>
      </c>
      <c r="C38" s="44"/>
    </row>
    <row r="39" spans="1:5" x14ac:dyDescent="0.25">
      <c r="A39" s="43"/>
      <c r="B39" s="44"/>
      <c r="C39" s="44"/>
    </row>
    <row r="40" spans="1:5" x14ac:dyDescent="0.25">
      <c r="A40" s="5"/>
      <c r="B40" s="46" t="s">
        <v>282</v>
      </c>
      <c r="C40" s="47" t="s">
        <v>125</v>
      </c>
    </row>
    <row r="41" spans="1:5" x14ac:dyDescent="0.25">
      <c r="A41" s="43" t="s">
        <v>126</v>
      </c>
      <c r="B41" s="48">
        <f>$B37/$B$38</f>
        <v>40350.048695210011</v>
      </c>
      <c r="C41" s="48">
        <f>$C37/$B$38</f>
        <v>45316.574896945109</v>
      </c>
    </row>
    <row r="42" spans="1:5" x14ac:dyDescent="0.25">
      <c r="A42" s="43" t="s">
        <v>127</v>
      </c>
      <c r="B42" s="49">
        <f>($B34/$B37)*100</f>
        <v>13.994935786027195</v>
      </c>
      <c r="C42" s="49"/>
    </row>
    <row r="43" spans="1:5" x14ac:dyDescent="0.25">
      <c r="A43" s="43" t="s">
        <v>128</v>
      </c>
      <c r="B43" s="50">
        <f>$B34/$B$38</f>
        <v>5646.9634045253451</v>
      </c>
      <c r="C43" s="50">
        <f>$C34/$B$38</f>
        <v>6246.640934209453</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ht="15.6" customHeight="1" x14ac:dyDescent="0.25">
      <c r="A49" s="18" t="s">
        <v>291</v>
      </c>
      <c r="B49" s="18"/>
      <c r="C49" s="18"/>
      <c r="D49" s="38"/>
    </row>
    <row r="50" spans="1:5" ht="15.6" customHeight="1" x14ac:dyDescent="0.25">
      <c r="A50" s="18" t="s">
        <v>292</v>
      </c>
      <c r="B50" s="18"/>
      <c r="C50" s="18"/>
      <c r="D50" s="38"/>
    </row>
    <row r="51" spans="1:5" s="37" customFormat="1" ht="15.6" customHeight="1" x14ac:dyDescent="0.25">
      <c r="B51" s="139"/>
      <c r="C51" s="139"/>
      <c r="D51" s="139"/>
      <c r="E51" s="70"/>
    </row>
    <row r="53" spans="1:5" x14ac:dyDescent="0.25">
      <c r="A53" s="43" t="s">
        <v>131</v>
      </c>
    </row>
    <row r="54" spans="1:5" x14ac:dyDescent="0.25">
      <c r="A54" s="18" t="s">
        <v>293</v>
      </c>
      <c r="B54" s="18"/>
      <c r="C54" s="18"/>
      <c r="D54" s="38"/>
    </row>
    <row r="55" spans="1:5" x14ac:dyDescent="0.25">
      <c r="A55" s="18" t="s">
        <v>294</v>
      </c>
      <c r="B55" s="18"/>
      <c r="C55" s="18"/>
      <c r="D55" s="38"/>
    </row>
    <row r="56" spans="1:5" x14ac:dyDescent="0.25">
      <c r="A56" s="18" t="s">
        <v>295</v>
      </c>
      <c r="B56" s="18"/>
      <c r="C56" s="18"/>
      <c r="D56" s="38"/>
    </row>
    <row r="57" spans="1:5" ht="34.35" customHeight="1" x14ac:dyDescent="0.25">
      <c r="A57" s="364" t="s">
        <v>296</v>
      </c>
      <c r="B57" s="364"/>
      <c r="C57" s="364"/>
      <c r="D57" s="364"/>
      <c r="E57" s="364"/>
    </row>
    <row r="58" spans="1:5" s="38" customFormat="1" x14ac:dyDescent="0.25">
      <c r="A58" s="18" t="s">
        <v>287</v>
      </c>
      <c r="B58" s="18"/>
      <c r="C58" s="18"/>
    </row>
    <row r="59" spans="1:5" s="38" customFormat="1" x14ac:dyDescent="0.25">
      <c r="A59" s="18"/>
      <c r="B59" s="18"/>
      <c r="C59" s="18"/>
    </row>
    <row r="60" spans="1:5" s="38" customFormat="1" x14ac:dyDescent="0.3">
      <c r="D60" s="70"/>
    </row>
    <row r="61" spans="1:5" s="38" customFormat="1" x14ac:dyDescent="0.3">
      <c r="A61" s="364" t="s">
        <v>1060</v>
      </c>
      <c r="B61" s="364"/>
      <c r="C61" s="364"/>
      <c r="D61" s="364"/>
      <c r="E61" s="364"/>
    </row>
    <row r="62" spans="1:5" customFormat="1" ht="14.4" x14ac:dyDescent="0.3">
      <c r="A62" s="364"/>
      <c r="B62" s="364"/>
      <c r="C62" s="364"/>
      <c r="D62" s="364"/>
      <c r="E62" s="364"/>
    </row>
    <row r="63" spans="1:5" customFormat="1" ht="14.4" x14ac:dyDescent="0.3"/>
    <row r="64" spans="1:5" customFormat="1" ht="14.4" x14ac:dyDescent="0.3"/>
    <row r="65" spans="1:4" s="38" customFormat="1" x14ac:dyDescent="0.3">
      <c r="A65" s="140"/>
      <c r="D65" s="70"/>
    </row>
    <row r="66" spans="1:4" s="38" customFormat="1" x14ac:dyDescent="0.3">
      <c r="A66" s="5"/>
      <c r="D66" s="70"/>
    </row>
    <row r="67" spans="1:4" s="38" customFormat="1" x14ac:dyDescent="0.3">
      <c r="A67" s="5"/>
      <c r="D67" s="70"/>
    </row>
    <row r="68" spans="1:4" s="38" customFormat="1" x14ac:dyDescent="0.3">
      <c r="A68" s="5"/>
      <c r="D68" s="70"/>
    </row>
    <row r="69" spans="1:4" s="38" customFormat="1" x14ac:dyDescent="0.3">
      <c r="A69" s="5"/>
      <c r="D69" s="70"/>
    </row>
    <row r="70" spans="1:4" s="38" customFormat="1" x14ac:dyDescent="0.3">
      <c r="A70" s="5"/>
      <c r="D70" s="70"/>
    </row>
    <row r="71" spans="1:4" s="38" customFormat="1" x14ac:dyDescent="0.3">
      <c r="A71" s="5"/>
      <c r="D71" s="70"/>
    </row>
    <row r="72" spans="1:4" s="38" customFormat="1" x14ac:dyDescent="0.3">
      <c r="A72" s="5"/>
      <c r="D72" s="70"/>
    </row>
    <row r="73" spans="1:4" s="38" customFormat="1" x14ac:dyDescent="0.3">
      <c r="A73" s="5"/>
      <c r="D73" s="70"/>
    </row>
  </sheetData>
  <sheetProtection algorithmName="SHA-512" hashValue="lB/qyQKN3XBmD93FXih3VGbGDgEBbV+Pb2rN3LSi42/L+jwMYdygwtWbNfysvz9Y8KsP6N5rokVtJHiszA6Mrg==" saltValue="N8KBsj4lpr47yZNHHXXv0Q==" spinCount="100000" sheet="1" formatCells="0" formatColumns="0" formatRows="0" insertColumns="0" insertRows="0" insertHyperlinks="0" deleteColumns="0" deleteRows="0" sort="0" autoFilter="0" pivotTables="0"/>
  <mergeCells count="2">
    <mergeCell ref="A57:E57"/>
    <mergeCell ref="A61:E62"/>
  </mergeCells>
  <hyperlinks>
    <hyperlink ref="A2" location="Index!H24" display="[Back to Index]" xr:uid="{FD0CB71C-F3EA-4462-8CEC-1052C7673B01}"/>
  </hyperlinks>
  <pageMargins left="0.7" right="0.7" top="0.75" bottom="0.75" header="0.3" footer="0.3"/>
  <pageSetup orientation="portrait"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17A1F-BC69-41AB-A689-1766532ED0E1}">
  <sheetPr codeName="Sheet51">
    <tabColor rgb="FFBFDDAB"/>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3" width="27.5546875" style="38" customWidth="1"/>
    <col min="4" max="4" width="95.5546875" style="37" customWidth="1"/>
    <col min="5" max="5" width="40.5546875" style="38" customWidth="1"/>
    <col min="6" max="16384" width="8.77734375" style="18"/>
  </cols>
  <sheetData>
    <row r="1" spans="1:5" s="5" customFormat="1" ht="17.399999999999999" x14ac:dyDescent="0.25">
      <c r="A1" s="112" t="s">
        <v>13</v>
      </c>
      <c r="B1" s="2" t="s">
        <v>73</v>
      </c>
      <c r="C1" s="3">
        <v>89.967699999999994</v>
      </c>
      <c r="D1" s="4" t="s">
        <v>1045</v>
      </c>
    </row>
    <row r="2" spans="1:5" s="5" customFormat="1" x14ac:dyDescent="0.25">
      <c r="A2" s="324" t="s">
        <v>74</v>
      </c>
      <c r="C2" s="3">
        <v>3.9585680000000001</v>
      </c>
      <c r="D2" s="4" t="s">
        <v>1046</v>
      </c>
    </row>
    <row r="3" spans="1:5" s="5" customFormat="1" x14ac:dyDescent="0.25">
      <c r="A3" s="6"/>
      <c r="D3" s="7"/>
    </row>
    <row r="4" spans="1:5" s="10" customFormat="1" x14ac:dyDescent="0.3">
      <c r="A4" s="8" t="s">
        <v>75</v>
      </c>
      <c r="B4" s="9" t="s">
        <v>76</v>
      </c>
      <c r="C4" s="9" t="s">
        <v>77</v>
      </c>
      <c r="D4" s="9" t="s">
        <v>78</v>
      </c>
      <c r="E4" s="8" t="s">
        <v>79</v>
      </c>
    </row>
    <row r="5" spans="1:5" s="15" customFormat="1" ht="60" x14ac:dyDescent="0.25">
      <c r="A5" s="11" t="s">
        <v>80</v>
      </c>
      <c r="B5" s="12">
        <f>SUM(B6:B7)</f>
        <v>0</v>
      </c>
      <c r="C5" s="12">
        <f>SUM(C6:C7)</f>
        <v>0</v>
      </c>
      <c r="D5" s="13"/>
      <c r="E5" s="14"/>
    </row>
    <row r="6" spans="1:5" s="15" customFormat="1" ht="60" x14ac:dyDescent="0.25">
      <c r="A6" s="14" t="s">
        <v>81</v>
      </c>
      <c r="B6" s="16"/>
      <c r="C6" s="16"/>
      <c r="D6" s="13" t="s">
        <v>82</v>
      </c>
      <c r="E6" s="14" t="s">
        <v>83</v>
      </c>
    </row>
    <row r="7" spans="1:5" s="15" customFormat="1" ht="60" x14ac:dyDescent="0.25">
      <c r="A7" s="14" t="s">
        <v>84</v>
      </c>
      <c r="B7" s="17"/>
      <c r="C7" s="17"/>
      <c r="D7" s="13" t="s">
        <v>85</v>
      </c>
      <c r="E7" s="13" t="s">
        <v>86</v>
      </c>
    </row>
    <row r="8" spans="1:5" ht="30" x14ac:dyDescent="0.25">
      <c r="A8" s="11" t="s">
        <v>87</v>
      </c>
      <c r="B8" s="12">
        <f>SUM(B9:B11)</f>
        <v>150000000000</v>
      </c>
      <c r="C8" s="12">
        <f>SUM(C9:C11)</f>
        <v>107507615122.73785</v>
      </c>
      <c r="D8" s="13"/>
      <c r="E8" s="14"/>
    </row>
    <row r="9" spans="1:5" ht="60" x14ac:dyDescent="0.25">
      <c r="A9" s="14" t="s">
        <v>88</v>
      </c>
      <c r="B9" s="16">
        <f>150*10^9</f>
        <v>150000000000</v>
      </c>
      <c r="C9" s="16">
        <f>B9/$B$36</f>
        <v>107507615122.73785</v>
      </c>
      <c r="D9" s="13" t="s">
        <v>89</v>
      </c>
      <c r="E9" s="13" t="s">
        <v>86</v>
      </c>
    </row>
    <row r="10" spans="1:5" ht="60" x14ac:dyDescent="0.25">
      <c r="A10" s="14" t="s">
        <v>90</v>
      </c>
      <c r="B10" s="16"/>
      <c r="C10" s="16"/>
      <c r="D10" s="13" t="s">
        <v>91</v>
      </c>
      <c r="E10" s="13" t="s">
        <v>86</v>
      </c>
    </row>
    <row r="11" spans="1:5" x14ac:dyDescent="0.25">
      <c r="A11" s="14" t="s">
        <v>92</v>
      </c>
      <c r="B11" s="19"/>
      <c r="C11" s="19"/>
      <c r="D11" s="13"/>
      <c r="E11" s="14"/>
    </row>
    <row r="12" spans="1:5" ht="45" x14ac:dyDescent="0.25">
      <c r="A12" s="11" t="s">
        <v>93</v>
      </c>
      <c r="B12" s="12">
        <f>SUM(B13:B14)</f>
        <v>70000000000</v>
      </c>
      <c r="C12" s="12">
        <f>SUM(C13:C14)</f>
        <v>50170220390.611</v>
      </c>
      <c r="D12" s="13"/>
      <c r="E12" s="14"/>
    </row>
    <row r="13" spans="1:5" ht="60" x14ac:dyDescent="0.25">
      <c r="A13" s="14" t="s">
        <v>94</v>
      </c>
      <c r="B13" s="16">
        <f>(65+5)*10^9</f>
        <v>70000000000</v>
      </c>
      <c r="C13" s="16">
        <f>B13/$B$36</f>
        <v>50170220390.611</v>
      </c>
      <c r="D13" s="13" t="s">
        <v>95</v>
      </c>
      <c r="E13" s="14" t="s">
        <v>86</v>
      </c>
    </row>
    <row r="14" spans="1:5" x14ac:dyDescent="0.25">
      <c r="A14" s="14" t="s">
        <v>96</v>
      </c>
      <c r="B14" s="16"/>
      <c r="C14" s="16"/>
      <c r="D14" s="13"/>
      <c r="E14" s="14"/>
    </row>
    <row r="15" spans="1:5" ht="45" x14ac:dyDescent="0.25">
      <c r="A15" s="11" t="s">
        <v>97</v>
      </c>
      <c r="B15" s="12"/>
      <c r="C15" s="12"/>
      <c r="D15" s="13"/>
      <c r="E15" s="14"/>
    </row>
    <row r="16" spans="1:5" ht="30" x14ac:dyDescent="0.25">
      <c r="A16" s="11" t="s">
        <v>98</v>
      </c>
      <c r="B16" s="12">
        <f>SUM(B17:B18)</f>
        <v>193175000000</v>
      </c>
      <c r="C16" s="12">
        <f>SUM(C17:C18)</f>
        <v>138451890342.23257</v>
      </c>
      <c r="D16" s="13"/>
      <c r="E16" s="14"/>
    </row>
    <row r="17" spans="1:5" ht="60" x14ac:dyDescent="0.25">
      <c r="A17" s="13" t="s">
        <v>99</v>
      </c>
      <c r="B17" s="16">
        <f>(3.175)*10^9</f>
        <v>3175000000</v>
      </c>
      <c r="C17" s="16">
        <f>B17/$B$36</f>
        <v>2275577853.4312844</v>
      </c>
      <c r="D17" s="14" t="s">
        <v>100</v>
      </c>
      <c r="E17" s="14" t="s">
        <v>86</v>
      </c>
    </row>
    <row r="18" spans="1:5" ht="75" x14ac:dyDescent="0.25">
      <c r="A18" s="13" t="s">
        <v>101</v>
      </c>
      <c r="B18" s="16">
        <f>(105+85)*10^9</f>
        <v>190000000000</v>
      </c>
      <c r="C18" s="16">
        <f>B18/$B$36</f>
        <v>136176312488.80128</v>
      </c>
      <c r="D18" s="13" t="s">
        <v>102</v>
      </c>
      <c r="E18" s="14" t="s">
        <v>86</v>
      </c>
    </row>
    <row r="19" spans="1:5" ht="30" x14ac:dyDescent="0.25">
      <c r="A19" s="11" t="s">
        <v>103</v>
      </c>
      <c r="B19" s="20"/>
      <c r="C19" s="20"/>
      <c r="D19" s="13"/>
      <c r="E19" s="21"/>
    </row>
    <row r="20" spans="1:5" x14ac:dyDescent="0.25">
      <c r="A20" s="14" t="s">
        <v>104</v>
      </c>
      <c r="B20" s="19"/>
      <c r="C20" s="19"/>
      <c r="D20" s="13"/>
      <c r="E20" s="21"/>
    </row>
    <row r="21" spans="1:5" ht="60" x14ac:dyDescent="0.25">
      <c r="A21" s="22" t="s">
        <v>105</v>
      </c>
      <c r="B21" s="12">
        <f>SUM(B22,B24)</f>
        <v>0</v>
      </c>
      <c r="C21" s="12">
        <f>SUM(C22,C24)</f>
        <v>0</v>
      </c>
      <c r="D21" s="13" t="s">
        <v>106</v>
      </c>
      <c r="E21" s="14" t="s">
        <v>107</v>
      </c>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0</v>
      </c>
      <c r="C26" s="12">
        <f>SUM(C27:C29)</f>
        <v>0</v>
      </c>
      <c r="D26" s="13"/>
      <c r="E26" s="14"/>
    </row>
    <row r="27" spans="1:5" ht="150" x14ac:dyDescent="0.25">
      <c r="A27" s="13" t="s">
        <v>112</v>
      </c>
      <c r="B27" s="16"/>
      <c r="C27" s="16"/>
      <c r="D27" s="13" t="s">
        <v>113</v>
      </c>
      <c r="E27" s="14" t="s">
        <v>114</v>
      </c>
    </row>
    <row r="28" spans="1:5" x14ac:dyDescent="0.25">
      <c r="A28" s="13" t="s">
        <v>115</v>
      </c>
      <c r="B28" s="16"/>
      <c r="C28" s="16"/>
      <c r="D28" s="13"/>
      <c r="E28" s="14"/>
    </row>
    <row r="29" spans="1:5" x14ac:dyDescent="0.25">
      <c r="A29" s="13" t="s">
        <v>116</v>
      </c>
      <c r="B29" s="19">
        <f>SUM(B30:B31)</f>
        <v>0</v>
      </c>
      <c r="C29" s="19">
        <f>SUM(C30:C31)</f>
        <v>0</v>
      </c>
      <c r="D29" s="13"/>
      <c r="E29" s="14"/>
    </row>
    <row r="30" spans="1:5" x14ac:dyDescent="0.25">
      <c r="A30" s="25" t="s">
        <v>117</v>
      </c>
      <c r="B30" s="26"/>
      <c r="C30" s="26"/>
      <c r="D30" s="27"/>
      <c r="E30" s="28"/>
    </row>
    <row r="31" spans="1:5" x14ac:dyDescent="0.25">
      <c r="A31" s="25" t="s">
        <v>118</v>
      </c>
      <c r="B31" s="26"/>
      <c r="C31" s="26"/>
      <c r="D31" s="25"/>
      <c r="E31" s="29"/>
    </row>
    <row r="32" spans="1:5" x14ac:dyDescent="0.25">
      <c r="A32" s="11" t="s">
        <v>119</v>
      </c>
      <c r="B32" s="30"/>
      <c r="C32" s="12"/>
      <c r="D32" s="13"/>
      <c r="E32" s="14"/>
    </row>
    <row r="33" spans="1:5" x14ac:dyDescent="0.25">
      <c r="A33" s="31"/>
      <c r="B33" s="32"/>
      <c r="C33" s="32"/>
      <c r="D33" s="33"/>
      <c r="E33" s="34"/>
    </row>
    <row r="34" spans="1:5" x14ac:dyDescent="0.25">
      <c r="A34" s="35" t="s">
        <v>120</v>
      </c>
      <c r="B34" s="36">
        <f>SUM(B5,B8,B12,B15,B16)</f>
        <v>413175000000</v>
      </c>
      <c r="C34" s="36">
        <f>SUM(C5,C8,C12,C15,C16)</f>
        <v>296129725855.58142</v>
      </c>
    </row>
    <row r="35" spans="1:5" x14ac:dyDescent="0.25">
      <c r="A35" s="35"/>
      <c r="B35" s="39"/>
      <c r="C35" s="40"/>
    </row>
    <row r="36" spans="1:5" x14ac:dyDescent="0.25">
      <c r="A36" s="35" t="s">
        <v>121</v>
      </c>
      <c r="B36" s="41">
        <v>1.3952500000000001</v>
      </c>
      <c r="C36" s="42"/>
    </row>
    <row r="37" spans="1:5" x14ac:dyDescent="0.25">
      <c r="A37" s="43" t="s">
        <v>122</v>
      </c>
      <c r="B37" s="44">
        <v>2297550000000</v>
      </c>
      <c r="C37" s="44">
        <v>1730910000000</v>
      </c>
    </row>
    <row r="38" spans="1:5" x14ac:dyDescent="0.25">
      <c r="A38" s="43" t="s">
        <v>123</v>
      </c>
      <c r="B38" s="45">
        <v>37058856</v>
      </c>
      <c r="C38" s="45"/>
    </row>
    <row r="39" spans="1:5" x14ac:dyDescent="0.25">
      <c r="A39" s="43"/>
      <c r="B39" s="44"/>
      <c r="C39" s="44"/>
    </row>
    <row r="40" spans="1:5" x14ac:dyDescent="0.25">
      <c r="A40" s="5"/>
      <c r="B40" s="46" t="s">
        <v>124</v>
      </c>
      <c r="C40" s="47" t="s">
        <v>125</v>
      </c>
    </row>
    <row r="41" spans="1:5" x14ac:dyDescent="0.25">
      <c r="A41" s="43" t="s">
        <v>126</v>
      </c>
      <c r="B41" s="48">
        <f>$B37/$B$38</f>
        <v>61997.326630913813</v>
      </c>
      <c r="C41" s="48">
        <f>$C37/$B$38</f>
        <v>46707.054313819077</v>
      </c>
    </row>
    <row r="42" spans="1:5" x14ac:dyDescent="0.25">
      <c r="A42" s="43" t="s">
        <v>127</v>
      </c>
      <c r="B42" s="49">
        <f>($B34/$B37)*100</f>
        <v>17.983286544362471</v>
      </c>
      <c r="C42" s="49"/>
    </row>
    <row r="43" spans="1:5" x14ac:dyDescent="0.25">
      <c r="A43" s="43" t="s">
        <v>128</v>
      </c>
      <c r="B43" s="50">
        <f>$B34/$B$38</f>
        <v>11149.156897881576</v>
      </c>
      <c r="C43" s="50">
        <f>$C34/$B$38</f>
        <v>7990.795124803135</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ht="15.6" customHeight="1" x14ac:dyDescent="0.25">
      <c r="A49" s="52" t="s">
        <v>130</v>
      </c>
      <c r="B49" s="53"/>
      <c r="C49" s="53"/>
      <c r="D49" s="53"/>
      <c r="E49" s="53"/>
    </row>
    <row r="51" spans="1:5" x14ac:dyDescent="0.25">
      <c r="A51" s="43" t="s">
        <v>131</v>
      </c>
    </row>
    <row r="52" spans="1:5" s="38" customFormat="1" x14ac:dyDescent="0.3">
      <c r="A52" s="54" t="s">
        <v>132</v>
      </c>
      <c r="B52" s="55"/>
      <c r="C52" s="55"/>
      <c r="D52" s="55"/>
      <c r="E52" s="55"/>
    </row>
    <row r="53" spans="1:5" s="38" customFormat="1" x14ac:dyDescent="0.25">
      <c r="A53" s="37" t="s">
        <v>133</v>
      </c>
      <c r="B53" s="55"/>
      <c r="C53" s="55"/>
      <c r="D53" s="55"/>
      <c r="E53" s="55"/>
    </row>
    <row r="54" spans="1:5" s="38" customFormat="1" x14ac:dyDescent="0.25">
      <c r="A54" s="37" t="s">
        <v>134</v>
      </c>
      <c r="B54" s="34"/>
      <c r="C54" s="34"/>
      <c r="D54" s="34"/>
      <c r="E54" s="34"/>
    </row>
    <row r="55" spans="1:5" s="38" customFormat="1" x14ac:dyDescent="0.25">
      <c r="A55" s="38" t="s">
        <v>135</v>
      </c>
      <c r="D55" s="37"/>
    </row>
    <row r="56" spans="1:5" s="38" customFormat="1" x14ac:dyDescent="0.25">
      <c r="A56" s="5" t="s">
        <v>136</v>
      </c>
      <c r="D56" s="37"/>
    </row>
    <row r="57" spans="1:5" s="38" customFormat="1" x14ac:dyDescent="0.25">
      <c r="A57" s="5"/>
      <c r="D57" s="37"/>
    </row>
    <row r="58" spans="1:5" s="38" customFormat="1" x14ac:dyDescent="0.25">
      <c r="D58" s="37"/>
    </row>
    <row r="59" spans="1:5" x14ac:dyDescent="0.25">
      <c r="A59" s="364" t="s">
        <v>1060</v>
      </c>
      <c r="B59" s="364"/>
      <c r="C59" s="364"/>
      <c r="D59" s="364"/>
      <c r="E59" s="364"/>
    </row>
    <row r="60" spans="1:5" x14ac:dyDescent="0.25">
      <c r="A60" s="364"/>
      <c r="B60" s="364"/>
      <c r="C60" s="364"/>
      <c r="D60" s="364"/>
      <c r="E60" s="364"/>
    </row>
  </sheetData>
  <sheetProtection algorithmName="SHA-512" hashValue="E2MuJ3SwDrv/3WU+wbmDNOwXgpsF2XpcREE4NQgZUzqM5BOrwtp4ruyYiTr8JOcFupHhuMRA7h4VB6UnKt7BTw==" saltValue="XgIOoC4xuG/C1E4OZ/huzQ==" spinCount="100000" sheet="1" formatCells="0" formatColumns="0" formatRows="0" insertColumns="0" insertRows="0" insertHyperlinks="0" deleteColumns="0" deleteRows="0" sort="0" autoFilter="0" pivotTables="0"/>
  <mergeCells count="1">
    <mergeCell ref="A59:E60"/>
  </mergeCells>
  <hyperlinks>
    <hyperlink ref="A2" location="Index!H25" display="[Back to Index]" xr:uid="{541B7013-88A0-4F0A-B1ED-D2059EF7D8CB}"/>
  </hyperlink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D277-B06E-447C-B38C-0B917B75EFAE}">
  <sheetPr codeName="Sheet52">
    <tabColor rgb="FFBFDDAB"/>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77734375" style="18"/>
  </cols>
  <sheetData>
    <row r="1" spans="1:5" s="5" customFormat="1" ht="17.399999999999999" x14ac:dyDescent="0.25">
      <c r="A1" s="112" t="s">
        <v>16</v>
      </c>
      <c r="B1" s="2" t="s">
        <v>73</v>
      </c>
      <c r="C1" s="3">
        <v>124.9171</v>
      </c>
      <c r="D1" s="4" t="s">
        <v>1045</v>
      </c>
    </row>
    <row r="2" spans="1:5" s="5" customFormat="1" x14ac:dyDescent="0.25">
      <c r="A2" s="324" t="s">
        <v>74</v>
      </c>
      <c r="C2" s="3">
        <v>5.9681449999999998</v>
      </c>
      <c r="D2" s="4" t="s">
        <v>1046</v>
      </c>
    </row>
    <row r="3" spans="1:5" s="5" customFormat="1" x14ac:dyDescent="0.3">
      <c r="B3" s="38"/>
      <c r="D3" s="7"/>
    </row>
    <row r="4" spans="1:5" s="10" customFormat="1" x14ac:dyDescent="0.3">
      <c r="A4" s="8" t="s">
        <v>75</v>
      </c>
      <c r="B4" s="9" t="s">
        <v>251</v>
      </c>
      <c r="C4" s="9" t="s">
        <v>77</v>
      </c>
      <c r="D4" s="115" t="s">
        <v>78</v>
      </c>
      <c r="E4" s="116"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100.2" customHeight="1" x14ac:dyDescent="0.25">
      <c r="A7" s="14" t="s">
        <v>84</v>
      </c>
      <c r="B7" s="17"/>
      <c r="C7" s="17"/>
      <c r="D7" s="13" t="s">
        <v>297</v>
      </c>
      <c r="E7" s="13" t="s">
        <v>298</v>
      </c>
    </row>
    <row r="8" spans="1:5" ht="30" x14ac:dyDescent="0.25">
      <c r="A8" s="11" t="s">
        <v>87</v>
      </c>
      <c r="B8" s="12">
        <f>SUM(B9:B11)</f>
        <v>999999999.99999988</v>
      </c>
      <c r="C8" s="12">
        <f>SUM(C9:C11)</f>
        <v>1106194690.2654865</v>
      </c>
      <c r="D8" s="13"/>
      <c r="E8" s="14"/>
    </row>
    <row r="9" spans="1:5" ht="60" x14ac:dyDescent="0.25">
      <c r="A9" s="14" t="s">
        <v>88</v>
      </c>
      <c r="B9" s="16"/>
      <c r="C9" s="16"/>
      <c r="D9" s="13"/>
      <c r="E9" s="14"/>
    </row>
    <row r="10" spans="1:5" ht="82.5" customHeight="1" x14ac:dyDescent="0.25">
      <c r="A10" s="14" t="s">
        <v>90</v>
      </c>
      <c r="B10" s="16"/>
      <c r="C10" s="16"/>
      <c r="D10" s="24" t="s">
        <v>299</v>
      </c>
      <c r="E10" s="13" t="s">
        <v>298</v>
      </c>
    </row>
    <row r="11" spans="1:5" ht="85.8" customHeight="1" x14ac:dyDescent="0.25">
      <c r="A11" s="14" t="s">
        <v>92</v>
      </c>
      <c r="B11" s="16">
        <f>(0.7+0.2+0.1)*10^9</f>
        <v>999999999.99999988</v>
      </c>
      <c r="C11" s="141">
        <f>B11/$B$36</f>
        <v>1106194690.2654865</v>
      </c>
      <c r="D11" s="58" t="s">
        <v>300</v>
      </c>
      <c r="E11" s="13" t="s">
        <v>298</v>
      </c>
    </row>
    <row r="12" spans="1:5" ht="45" x14ac:dyDescent="0.25">
      <c r="A12" s="11" t="s">
        <v>93</v>
      </c>
      <c r="B12" s="12">
        <f>SUM(B13:B14)</f>
        <v>400000000</v>
      </c>
      <c r="C12" s="12">
        <f>SUM(C13:C14)</f>
        <v>442477876.10619467</v>
      </c>
      <c r="D12" s="13"/>
      <c r="E12" s="14"/>
    </row>
    <row r="13" spans="1:5" ht="53.25" customHeight="1" x14ac:dyDescent="0.25">
      <c r="A13" s="14" t="s">
        <v>94</v>
      </c>
      <c r="B13" s="23">
        <f>(0.2+0.2)*10^9</f>
        <v>400000000</v>
      </c>
      <c r="C13" s="141">
        <f>B13/$B$36</f>
        <v>442477876.10619467</v>
      </c>
      <c r="D13" s="13" t="s">
        <v>301</v>
      </c>
      <c r="E13" s="13" t="s">
        <v>298</v>
      </c>
    </row>
    <row r="14" spans="1:5" ht="36" customHeight="1" x14ac:dyDescent="0.25">
      <c r="A14" s="14" t="s">
        <v>96</v>
      </c>
      <c r="B14" s="16"/>
      <c r="C14" s="141"/>
      <c r="D14" s="92"/>
      <c r="E14" s="117"/>
    </row>
    <row r="15" spans="1:5" ht="45" x14ac:dyDescent="0.25">
      <c r="A15" s="11" t="s">
        <v>97</v>
      </c>
      <c r="B15" s="12"/>
      <c r="C15" s="12"/>
      <c r="D15" s="13"/>
      <c r="E15" s="14"/>
    </row>
    <row r="16" spans="1:5" ht="30" x14ac:dyDescent="0.25">
      <c r="A16" s="11" t="s">
        <v>98</v>
      </c>
      <c r="B16" s="12">
        <f>SUM(B17:B18)</f>
        <v>30656000000.000004</v>
      </c>
      <c r="C16" s="12">
        <f>SUM(C17:C18)</f>
        <v>33911504424.778763</v>
      </c>
      <c r="D16" s="13"/>
      <c r="E16" s="14"/>
    </row>
    <row r="17" spans="1:5" ht="55.35" customHeight="1" x14ac:dyDescent="0.25">
      <c r="A17" s="13" t="s">
        <v>99</v>
      </c>
      <c r="B17" s="85"/>
      <c r="C17" s="23"/>
      <c r="D17" s="83" t="s">
        <v>302</v>
      </c>
      <c r="E17" s="13" t="s">
        <v>298</v>
      </c>
    </row>
    <row r="18" spans="1:5" ht="150.15" customHeight="1" x14ac:dyDescent="0.25">
      <c r="A18" s="13" t="s">
        <v>101</v>
      </c>
      <c r="B18" s="19">
        <f>(1.3+5.4+0.613+0.2+0.13+1+22+0.013)*10^9</f>
        <v>30656000000.000004</v>
      </c>
      <c r="C18" s="141">
        <f>B18/$B$36</f>
        <v>33911504424.778763</v>
      </c>
      <c r="D18" s="13" t="s">
        <v>303</v>
      </c>
      <c r="E18" s="13" t="s">
        <v>298</v>
      </c>
    </row>
    <row r="19" spans="1:5" ht="30" x14ac:dyDescent="0.25">
      <c r="A19" s="11" t="s">
        <v>103</v>
      </c>
      <c r="B19" s="12"/>
      <c r="C19" s="12"/>
      <c r="E19" s="117"/>
    </row>
    <row r="20" spans="1:5" x14ac:dyDescent="0.25">
      <c r="A20" s="14" t="s">
        <v>104</v>
      </c>
      <c r="B20" s="16"/>
      <c r="C20" s="16"/>
      <c r="D20" s="13"/>
      <c r="E20" s="21"/>
    </row>
    <row r="21" spans="1:5" ht="30" x14ac:dyDescent="0.25">
      <c r="A21" s="22" t="s">
        <v>105</v>
      </c>
      <c r="B21" s="12">
        <f>B22+B24</f>
        <v>0</v>
      </c>
      <c r="C21" s="12">
        <f>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3842000000</v>
      </c>
      <c r="C26" s="12">
        <f>SUM(C27:C29)</f>
        <v>4250000000</v>
      </c>
      <c r="E26" s="14"/>
    </row>
    <row r="27" spans="1:5" ht="95.25" customHeight="1" x14ac:dyDescent="0.25">
      <c r="A27" s="13" t="s">
        <v>112</v>
      </c>
      <c r="B27" s="19">
        <f>C27*B36</f>
        <v>3842000000</v>
      </c>
      <c r="C27" s="19">
        <f>(4.25*10^9)</f>
        <v>4250000000</v>
      </c>
      <c r="D27" s="13" t="s">
        <v>304</v>
      </c>
      <c r="E27" s="13" t="s">
        <v>305</v>
      </c>
    </row>
    <row r="28" spans="1:5" x14ac:dyDescent="0.25">
      <c r="A28" s="13" t="s">
        <v>115</v>
      </c>
      <c r="B28" s="16"/>
      <c r="C28" s="16"/>
      <c r="D28" s="13"/>
      <c r="E28" s="13"/>
    </row>
    <row r="29" spans="1:5" x14ac:dyDescent="0.25">
      <c r="A29" s="13" t="s">
        <v>116</v>
      </c>
      <c r="B29" s="19">
        <f>SUM(B30:B31)</f>
        <v>0</v>
      </c>
      <c r="C29" s="19">
        <f>SUM(C30:C31)</f>
        <v>0</v>
      </c>
      <c r="D29" s="13"/>
      <c r="E29" s="14"/>
    </row>
    <row r="30" spans="1:5" x14ac:dyDescent="0.25">
      <c r="A30" s="25" t="s">
        <v>117</v>
      </c>
      <c r="B30" s="119"/>
      <c r="C30" s="119"/>
      <c r="D30" s="27"/>
      <c r="E30" s="28"/>
    </row>
    <row r="31" spans="1:5" x14ac:dyDescent="0.25">
      <c r="A31" s="25" t="s">
        <v>118</v>
      </c>
      <c r="B31" s="119"/>
      <c r="C31" s="119"/>
      <c r="D31" s="25"/>
      <c r="E31" s="29"/>
    </row>
    <row r="32" spans="1:5" x14ac:dyDescent="0.25">
      <c r="A32" s="11" t="s">
        <v>119</v>
      </c>
      <c r="B32" s="59"/>
      <c r="C32" s="12">
        <f>B32/B36</f>
        <v>0</v>
      </c>
      <c r="D32" s="13"/>
      <c r="E32" s="14"/>
    </row>
    <row r="33" spans="1:5" x14ac:dyDescent="0.25">
      <c r="A33" s="31"/>
      <c r="B33" s="120"/>
      <c r="C33" s="120"/>
      <c r="D33" s="33"/>
      <c r="E33" s="34"/>
    </row>
    <row r="34" spans="1:5" x14ac:dyDescent="0.25">
      <c r="A34" s="35" t="s">
        <v>120</v>
      </c>
      <c r="B34" s="121">
        <f>(SUM(B5,B8,B12,B15,B16))</f>
        <v>32056000000.000004</v>
      </c>
      <c r="C34" s="121">
        <f>(SUM(C5,C8,C12,C15,C16))</f>
        <v>35460176991.150444</v>
      </c>
    </row>
    <row r="35" spans="1:5" x14ac:dyDescent="0.25">
      <c r="A35" s="31"/>
      <c r="B35" s="39"/>
      <c r="C35" s="40"/>
      <c r="D35" s="133"/>
    </row>
    <row r="36" spans="1:5" x14ac:dyDescent="0.25">
      <c r="A36" s="31" t="s">
        <v>121</v>
      </c>
      <c r="B36" s="143">
        <v>0.90400000000000003</v>
      </c>
      <c r="C36" s="42"/>
      <c r="D36" s="144"/>
    </row>
    <row r="37" spans="1:5" x14ac:dyDescent="0.25">
      <c r="A37" s="43" t="s">
        <v>122</v>
      </c>
      <c r="B37" s="45">
        <v>307760548980.03815</v>
      </c>
      <c r="C37" s="45">
        <v>347176000000</v>
      </c>
      <c r="D37" s="144"/>
    </row>
    <row r="38" spans="1:5" x14ac:dyDescent="0.25">
      <c r="A38" s="43" t="s">
        <v>123</v>
      </c>
      <c r="B38" s="45">
        <v>5797446</v>
      </c>
      <c r="C38" s="45"/>
      <c r="D38" s="79"/>
    </row>
    <row r="39" spans="1:5" x14ac:dyDescent="0.25">
      <c r="A39" s="43"/>
      <c r="B39" s="44"/>
      <c r="C39" s="44"/>
    </row>
    <row r="40" spans="1:5" x14ac:dyDescent="0.25">
      <c r="A40" s="5"/>
      <c r="B40" s="46" t="s">
        <v>282</v>
      </c>
      <c r="C40" s="47" t="s">
        <v>125</v>
      </c>
    </row>
    <row r="41" spans="1:5" x14ac:dyDescent="0.25">
      <c r="A41" s="43" t="s">
        <v>126</v>
      </c>
      <c r="B41" s="48">
        <f>$B37/$B$38</f>
        <v>53085.539560012832</v>
      </c>
      <c r="C41" s="48">
        <f>$C37/$B$38</f>
        <v>59884.300776583346</v>
      </c>
    </row>
    <row r="42" spans="1:5" x14ac:dyDescent="0.25">
      <c r="A42" s="43" t="s">
        <v>127</v>
      </c>
      <c r="B42" s="49">
        <f>($B34/$B37)*100</f>
        <v>10.415889920341677</v>
      </c>
      <c r="C42" s="49"/>
    </row>
    <row r="43" spans="1:5" x14ac:dyDescent="0.25">
      <c r="A43" s="43" t="s">
        <v>128</v>
      </c>
      <c r="B43" s="50">
        <f>$B34/$B$38</f>
        <v>5529.3313641903696</v>
      </c>
      <c r="C43" s="50">
        <f>$C34/$B$38</f>
        <v>6116.516995785807</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c r="C47" s="105"/>
    </row>
    <row r="48" spans="1:5" x14ac:dyDescent="0.25">
      <c r="A48" s="43" t="s">
        <v>129</v>
      </c>
    </row>
    <row r="49" spans="1:5" ht="15.6" customHeight="1" x14ac:dyDescent="0.25">
      <c r="A49" s="133" t="s">
        <v>306</v>
      </c>
      <c r="B49" s="53"/>
      <c r="C49" s="53"/>
      <c r="D49" s="53"/>
      <c r="E49" s="53"/>
    </row>
    <row r="50" spans="1:5" ht="15.6" customHeight="1" x14ac:dyDescent="0.25">
      <c r="B50" s="53"/>
      <c r="C50" s="53"/>
      <c r="D50" s="53"/>
      <c r="E50" s="53"/>
    </row>
    <row r="51" spans="1:5" ht="15.6" customHeight="1" x14ac:dyDescent="0.25">
      <c r="A51" s="53"/>
      <c r="B51" s="53"/>
      <c r="C51" s="53"/>
      <c r="D51" s="53"/>
      <c r="E51" s="53"/>
    </row>
    <row r="53" spans="1:5" x14ac:dyDescent="0.25">
      <c r="A53" s="43" t="s">
        <v>131</v>
      </c>
    </row>
    <row r="54" spans="1:5" s="5" customFormat="1" ht="32.1" customHeight="1" x14ac:dyDescent="0.3">
      <c r="A54" s="374" t="s">
        <v>307</v>
      </c>
      <c r="B54" s="374"/>
      <c r="C54" s="374"/>
      <c r="D54" s="374"/>
      <c r="E54" s="374"/>
    </row>
    <row r="55" spans="1:5" s="5" customFormat="1" ht="48.6" customHeight="1" x14ac:dyDescent="0.25">
      <c r="A55" s="370" t="s">
        <v>308</v>
      </c>
      <c r="B55" s="370"/>
      <c r="C55" s="370"/>
      <c r="D55" s="370"/>
      <c r="E55" s="370"/>
    </row>
    <row r="56" spans="1:5" s="38" customFormat="1" x14ac:dyDescent="0.25">
      <c r="A56" s="37" t="s">
        <v>309</v>
      </c>
      <c r="D56" s="70"/>
    </row>
    <row r="57" spans="1:5" s="38" customFormat="1" x14ac:dyDescent="0.25">
      <c r="A57" s="52"/>
      <c r="D57" s="70"/>
    </row>
    <row r="58" spans="1:5" x14ac:dyDescent="0.25">
      <c r="A58" s="52"/>
    </row>
    <row r="59" spans="1:5" s="38" customFormat="1" x14ac:dyDescent="0.3">
      <c r="A59" s="364" t="s">
        <v>1060</v>
      </c>
      <c r="B59" s="364"/>
      <c r="C59" s="364"/>
      <c r="D59" s="364"/>
      <c r="E59" s="364"/>
    </row>
    <row r="60" spans="1:5" x14ac:dyDescent="0.25">
      <c r="A60" s="364"/>
      <c r="B60" s="364"/>
      <c r="C60" s="364"/>
      <c r="D60" s="364"/>
      <c r="E60" s="364"/>
    </row>
  </sheetData>
  <sheetProtection algorithmName="SHA-512" hashValue="EGdpG6u0tYCZ9zIluQECY1qOf6DJ5ASFa6nRTCCay7OYDyeoqLNTFojF7sEPEzBvfoKIQw2mgNbEcEP1id1K7Q==" saltValue="ky3/y8OTe7rzKBDV/BPyvA==" spinCount="100000" sheet="1" formatCells="0" formatColumns="0" formatRows="0" insertColumns="0" insertRows="0" insertHyperlinks="0" deleteColumns="0" deleteRows="0" sort="0" autoFilter="0" pivotTables="0"/>
  <mergeCells count="3">
    <mergeCell ref="A54:E54"/>
    <mergeCell ref="A55:E55"/>
    <mergeCell ref="A59:E60"/>
  </mergeCells>
  <hyperlinks>
    <hyperlink ref="A2" location="Index!H26" display="[Back to Index]" xr:uid="{D6288F86-4FC9-4965-8F7D-5975F96B2F0B}"/>
  </hyperlinks>
  <pageMargins left="0.7" right="0.7" top="0.75" bottom="0.75" header="0.3" footer="0.3"/>
  <pageSetup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354B0-6797-4B5D-AAAA-D6BEC86FED71}">
  <sheetPr codeName="Sheet53">
    <tabColor rgb="FFBFDDAB"/>
  </sheetPr>
  <dimension ref="A1:E62"/>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77734375" style="18"/>
  </cols>
  <sheetData>
    <row r="1" spans="1:5" s="5" customFormat="1" ht="17.399999999999999" x14ac:dyDescent="0.25">
      <c r="A1" s="112" t="s">
        <v>19</v>
      </c>
      <c r="B1" s="2" t="s">
        <v>73</v>
      </c>
      <c r="C1" s="3">
        <v>66.708349999999996</v>
      </c>
      <c r="D1" s="4" t="s">
        <v>1045</v>
      </c>
    </row>
    <row r="2" spans="1:5" s="5" customFormat="1" x14ac:dyDescent="0.25">
      <c r="A2" s="324" t="s">
        <v>74</v>
      </c>
      <c r="C2" s="3">
        <v>1.631011</v>
      </c>
      <c r="D2" s="4" t="s">
        <v>1046</v>
      </c>
    </row>
    <row r="3" spans="1:5" s="5" customFormat="1" x14ac:dyDescent="0.3">
      <c r="B3" s="38"/>
      <c r="D3" s="145"/>
    </row>
    <row r="4" spans="1:5" s="10" customFormat="1" x14ac:dyDescent="0.3">
      <c r="A4" s="8" t="s">
        <v>75</v>
      </c>
      <c r="B4" s="9" t="s">
        <v>251</v>
      </c>
      <c r="C4" s="9" t="s">
        <v>77</v>
      </c>
      <c r="D4" s="115" t="s">
        <v>78</v>
      </c>
      <c r="E4" s="116" t="s">
        <v>79</v>
      </c>
    </row>
    <row r="5" spans="1:5" s="15" customFormat="1" ht="60" x14ac:dyDescent="0.25">
      <c r="A5" s="11" t="s">
        <v>80</v>
      </c>
      <c r="B5" s="12">
        <f>SUM(B6:B7)</f>
        <v>2000000000</v>
      </c>
      <c r="C5" s="12">
        <f>SUM(C6:C7)</f>
        <v>2212389380.5309734</v>
      </c>
      <c r="D5" s="13"/>
      <c r="E5" s="14"/>
    </row>
    <row r="6" spans="1:5" s="15" customFormat="1" ht="60" x14ac:dyDescent="0.25">
      <c r="A6" s="14" t="s">
        <v>81</v>
      </c>
      <c r="B6" s="16">
        <f>(1+1)*10^9</f>
        <v>2000000000</v>
      </c>
      <c r="C6" s="16">
        <f>B6/$B$36</f>
        <v>2212389380.5309734</v>
      </c>
      <c r="D6" s="13" t="s">
        <v>310</v>
      </c>
      <c r="E6" s="14" t="s">
        <v>277</v>
      </c>
    </row>
    <row r="7" spans="1:5" s="15" customFormat="1" ht="68.099999999999994" customHeight="1" x14ac:dyDescent="0.25">
      <c r="A7" s="14" t="s">
        <v>84</v>
      </c>
      <c r="B7" s="16"/>
      <c r="C7" s="16">
        <f>B7/$B$36</f>
        <v>0</v>
      </c>
      <c r="D7" s="13"/>
      <c r="E7" s="13"/>
    </row>
    <row r="8" spans="1:5" ht="30" x14ac:dyDescent="0.25">
      <c r="A8" s="11" t="s">
        <v>87</v>
      </c>
      <c r="B8" s="20">
        <f>SUM(B9:B11)</f>
        <v>31200000000</v>
      </c>
      <c r="C8" s="20">
        <f>SUM(C9:C11)</f>
        <v>34513274336.28318</v>
      </c>
      <c r="D8" s="13"/>
      <c r="E8" s="14"/>
    </row>
    <row r="9" spans="1:5" ht="60" x14ac:dyDescent="0.25">
      <c r="A9" s="14" t="s">
        <v>88</v>
      </c>
      <c r="B9" s="16"/>
      <c r="C9" s="16"/>
      <c r="D9" s="13"/>
      <c r="E9" s="14"/>
    </row>
    <row r="10" spans="1:5" ht="127.2" customHeight="1" x14ac:dyDescent="0.25">
      <c r="A10" s="14" t="s">
        <v>90</v>
      </c>
      <c r="B10" s="19">
        <f>(30)*10^9</f>
        <v>30000000000</v>
      </c>
      <c r="C10" s="19">
        <f>B10/$B$36</f>
        <v>33185840707.9646</v>
      </c>
      <c r="D10" s="24" t="s">
        <v>311</v>
      </c>
      <c r="E10" s="14" t="s">
        <v>312</v>
      </c>
    </row>
    <row r="11" spans="1:5" ht="65.400000000000006" customHeight="1" x14ac:dyDescent="0.25">
      <c r="A11" s="14" t="s">
        <v>92</v>
      </c>
      <c r="B11" s="16">
        <f>1.2*10^9</f>
        <v>1200000000</v>
      </c>
      <c r="C11" s="16">
        <f>B11/$B$36</f>
        <v>1327433628.318584</v>
      </c>
      <c r="D11" s="13" t="s">
        <v>313</v>
      </c>
      <c r="E11" s="14" t="s">
        <v>277</v>
      </c>
    </row>
    <row r="12" spans="1:5" ht="45" x14ac:dyDescent="0.25">
      <c r="A12" s="11" t="s">
        <v>93</v>
      </c>
      <c r="B12" s="12">
        <f>SUM(B13:B14)</f>
        <v>10000000000</v>
      </c>
      <c r="C12" s="12">
        <f>SUM(C13:C14)</f>
        <v>11061946902.654867</v>
      </c>
      <c r="D12" s="13"/>
      <c r="E12" s="117"/>
    </row>
    <row r="13" spans="1:5" ht="139.19999999999999" customHeight="1" x14ac:dyDescent="0.25">
      <c r="A13" s="14" t="s">
        <v>94</v>
      </c>
      <c r="B13" s="23">
        <f>10*10^9</f>
        <v>10000000000</v>
      </c>
      <c r="C13" s="16">
        <f>B13/$B$36</f>
        <v>11061946902.654867</v>
      </c>
      <c r="D13" s="13" t="s">
        <v>314</v>
      </c>
      <c r="E13" s="14" t="s">
        <v>315</v>
      </c>
    </row>
    <row r="14" spans="1:5" x14ac:dyDescent="0.25">
      <c r="A14" s="14" t="s">
        <v>96</v>
      </c>
      <c r="B14" s="16"/>
      <c r="C14" s="16"/>
      <c r="D14" s="13"/>
      <c r="E14" s="14"/>
    </row>
    <row r="15" spans="1:5" ht="45" x14ac:dyDescent="0.25">
      <c r="A15" s="11" t="s">
        <v>97</v>
      </c>
      <c r="B15" s="12"/>
      <c r="C15" s="12"/>
      <c r="D15" s="13"/>
      <c r="E15" s="14"/>
    </row>
    <row r="16" spans="1:5" ht="30" x14ac:dyDescent="0.25">
      <c r="A16" s="11" t="s">
        <v>98</v>
      </c>
      <c r="B16" s="12">
        <f>SUM(B17:B18)</f>
        <v>20828945000</v>
      </c>
      <c r="C16" s="12">
        <f>SUM(C17:C18)</f>
        <v>23040868362.831856</v>
      </c>
      <c r="D16" s="13"/>
      <c r="E16" s="14"/>
    </row>
    <row r="17" spans="1:5" ht="93.6" customHeight="1" x14ac:dyDescent="0.25">
      <c r="A17" s="13" t="s">
        <v>99</v>
      </c>
      <c r="B17" s="16">
        <f>(1+0.005)*10^9</f>
        <v>1004999999.9999999</v>
      </c>
      <c r="C17" s="16">
        <f>B17/$B$36</f>
        <v>1111725663.716814</v>
      </c>
      <c r="D17" s="83" t="s">
        <v>316</v>
      </c>
      <c r="E17" s="14" t="s">
        <v>277</v>
      </c>
    </row>
    <row r="18" spans="1:5" ht="109.2" customHeight="1" x14ac:dyDescent="0.25">
      <c r="A18" s="13" t="s">
        <v>101</v>
      </c>
      <c r="B18" s="23">
        <f>(0.9+0.65+3+4.5)*10^9+(B37*0.045)</f>
        <v>19823945000</v>
      </c>
      <c r="C18" s="16">
        <f>B18/$B$36</f>
        <v>21929142699.115044</v>
      </c>
      <c r="D18" s="58" t="s">
        <v>317</v>
      </c>
      <c r="E18" s="14" t="s">
        <v>277</v>
      </c>
    </row>
    <row r="19" spans="1:5" ht="39.299999999999997" customHeight="1" x14ac:dyDescent="0.25">
      <c r="A19" s="11" t="s">
        <v>103</v>
      </c>
      <c r="B19" s="12"/>
      <c r="C19" s="12"/>
      <c r="D19" s="13"/>
      <c r="E19" s="21"/>
    </row>
    <row r="20" spans="1:5" x14ac:dyDescent="0.25">
      <c r="A20" s="14" t="s">
        <v>104</v>
      </c>
      <c r="B20" s="16"/>
      <c r="C20" s="16"/>
      <c r="D20" s="13"/>
      <c r="E20" s="21"/>
    </row>
    <row r="21" spans="1:5" ht="30" x14ac:dyDescent="0.25">
      <c r="A21" s="22" t="s">
        <v>105</v>
      </c>
      <c r="B21" s="12">
        <f>B22+B24</f>
        <v>0</v>
      </c>
      <c r="C21" s="12">
        <f>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x14ac:dyDescent="0.25">
      <c r="A28" s="13" t="s">
        <v>115</v>
      </c>
      <c r="B28" s="16"/>
      <c r="C28" s="16"/>
      <c r="D28" s="13"/>
      <c r="E28" s="13"/>
    </row>
    <row r="29" spans="1:5" x14ac:dyDescent="0.25">
      <c r="A29" s="13" t="s">
        <v>116</v>
      </c>
      <c r="B29" s="19">
        <f>SUM(B30:B31)</f>
        <v>0</v>
      </c>
      <c r="C29" s="19">
        <f>SUM(C30:C31)</f>
        <v>0</v>
      </c>
      <c r="D29" s="13"/>
      <c r="E29" s="14"/>
    </row>
    <row r="30" spans="1:5" x14ac:dyDescent="0.25">
      <c r="A30" s="25" t="s">
        <v>117</v>
      </c>
      <c r="B30" s="119"/>
      <c r="C30" s="119"/>
      <c r="D30" s="27"/>
      <c r="E30" s="28"/>
    </row>
    <row r="31" spans="1:5" x14ac:dyDescent="0.25">
      <c r="A31" s="25" t="s">
        <v>118</v>
      </c>
      <c r="B31" s="119"/>
      <c r="C31" s="119"/>
      <c r="D31" s="25"/>
      <c r="E31" s="29"/>
    </row>
    <row r="32" spans="1:5" ht="47.1" customHeight="1" x14ac:dyDescent="0.25">
      <c r="A32" s="11" t="s">
        <v>119</v>
      </c>
      <c r="B32" s="30"/>
      <c r="C32" s="12"/>
      <c r="D32" s="14"/>
      <c r="E32" s="14"/>
    </row>
    <row r="33" spans="1:5" x14ac:dyDescent="0.25">
      <c r="A33" s="31"/>
      <c r="B33" s="120"/>
      <c r="C33" s="120"/>
      <c r="D33" s="33"/>
      <c r="E33" s="34"/>
    </row>
    <row r="34" spans="1:5" x14ac:dyDescent="0.25">
      <c r="A34" s="35" t="s">
        <v>120</v>
      </c>
      <c r="B34" s="132">
        <f>(SUM(B5,B8,B12,B15,B16))</f>
        <v>64028945000</v>
      </c>
      <c r="C34" s="132">
        <f>(SUM(C5,C8,C12,C15,C16))</f>
        <v>70828478982.300873</v>
      </c>
    </row>
    <row r="35" spans="1:5" x14ac:dyDescent="0.25">
      <c r="A35" s="31"/>
      <c r="B35" s="39"/>
      <c r="C35" s="40"/>
      <c r="D35" s="144"/>
    </row>
    <row r="36" spans="1:5" x14ac:dyDescent="0.25">
      <c r="A36" s="31" t="s">
        <v>121</v>
      </c>
      <c r="B36" s="146">
        <v>0.90400000000000003</v>
      </c>
      <c r="C36" s="42"/>
      <c r="D36" s="144"/>
    </row>
    <row r="37" spans="1:5" x14ac:dyDescent="0.25">
      <c r="A37" s="43" t="s">
        <v>122</v>
      </c>
      <c r="B37" s="45">
        <v>239421000000</v>
      </c>
      <c r="C37" s="45">
        <v>269654000000</v>
      </c>
      <c r="D37" s="144"/>
    </row>
    <row r="38" spans="1:5" x14ac:dyDescent="0.25">
      <c r="A38" s="43" t="s">
        <v>123</v>
      </c>
      <c r="B38" s="45">
        <v>5518050</v>
      </c>
      <c r="C38" s="45"/>
    </row>
    <row r="39" spans="1:5" x14ac:dyDescent="0.25">
      <c r="A39" s="43"/>
      <c r="B39" s="44"/>
      <c r="C39" s="44"/>
    </row>
    <row r="40" spans="1:5" x14ac:dyDescent="0.25">
      <c r="A40" s="5"/>
      <c r="B40" s="46" t="s">
        <v>282</v>
      </c>
      <c r="C40" s="47" t="s">
        <v>125</v>
      </c>
    </row>
    <row r="41" spans="1:5" x14ac:dyDescent="0.25">
      <c r="A41" s="43" t="s">
        <v>126</v>
      </c>
      <c r="B41" s="48">
        <f>$B37/$B$38</f>
        <v>43388.697094082148</v>
      </c>
      <c r="C41" s="48">
        <f>$C37/$B$38</f>
        <v>48867.625338661303</v>
      </c>
    </row>
    <row r="42" spans="1:5" x14ac:dyDescent="0.25">
      <c r="A42" s="43" t="s">
        <v>127</v>
      </c>
      <c r="B42" s="49">
        <f>($B34/$B37)*100</f>
        <v>26.743245162287348</v>
      </c>
      <c r="C42" s="49"/>
    </row>
    <row r="43" spans="1:5" x14ac:dyDescent="0.25">
      <c r="A43" s="43" t="s">
        <v>128</v>
      </c>
      <c r="B43" s="50">
        <f>$B34/$B$38</f>
        <v>11603.545636592637</v>
      </c>
      <c r="C43" s="50">
        <f>$C34/$B$38</f>
        <v>12835.780571452029</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ht="15.6" customHeight="1" x14ac:dyDescent="0.25">
      <c r="A49" s="133" t="s">
        <v>306</v>
      </c>
      <c r="B49" s="53"/>
      <c r="C49" s="53"/>
      <c r="D49" s="53"/>
      <c r="E49" s="53"/>
    </row>
    <row r="50" spans="1:5" ht="15.6" customHeight="1" x14ac:dyDescent="0.25">
      <c r="A50" s="52"/>
      <c r="B50" s="53"/>
      <c r="C50" s="53"/>
      <c r="D50" s="53"/>
      <c r="E50" s="53"/>
    </row>
    <row r="51" spans="1:5" ht="15.6" customHeight="1" x14ac:dyDescent="0.25">
      <c r="A51" s="53"/>
      <c r="B51" s="53"/>
      <c r="C51" s="53"/>
      <c r="D51" s="53"/>
      <c r="E51" s="53"/>
    </row>
    <row r="53" spans="1:5" x14ac:dyDescent="0.25">
      <c r="A53" s="43" t="s">
        <v>131</v>
      </c>
    </row>
    <row r="54" spans="1:5" s="38" customFormat="1" ht="15.6" customHeight="1" x14ac:dyDescent="0.25">
      <c r="A54" s="136" t="s">
        <v>318</v>
      </c>
      <c r="B54" s="37"/>
      <c r="C54" s="147"/>
      <c r="D54" s="70"/>
      <c r="E54" s="70"/>
    </row>
    <row r="55" spans="1:5" s="38" customFormat="1" ht="15.6" customHeight="1" x14ac:dyDescent="0.25">
      <c r="A55" s="136" t="s">
        <v>319</v>
      </c>
      <c r="B55" s="37"/>
      <c r="C55" s="147"/>
      <c r="D55" s="70"/>
      <c r="E55" s="70"/>
    </row>
    <row r="56" spans="1:5" s="38" customFormat="1" x14ac:dyDescent="0.25">
      <c r="A56" s="148" t="s">
        <v>320</v>
      </c>
      <c r="B56" s="37"/>
      <c r="C56" s="147"/>
      <c r="D56" s="70"/>
      <c r="E56" s="70"/>
    </row>
    <row r="57" spans="1:5" s="38" customFormat="1" x14ac:dyDescent="0.3">
      <c r="A57" s="136" t="s">
        <v>321</v>
      </c>
      <c r="B57" s="34"/>
      <c r="C57" s="34"/>
      <c r="D57" s="34"/>
      <c r="E57" s="34"/>
    </row>
    <row r="58" spans="1:5" s="38" customFormat="1" x14ac:dyDescent="0.25">
      <c r="A58" s="37" t="s">
        <v>287</v>
      </c>
      <c r="D58" s="70"/>
    </row>
    <row r="59" spans="1:5" s="38" customFormat="1" x14ac:dyDescent="0.3">
      <c r="D59" s="70"/>
    </row>
    <row r="60" spans="1:5" s="38" customFormat="1" x14ac:dyDescent="0.3">
      <c r="A60" s="5"/>
      <c r="D60" s="70"/>
    </row>
    <row r="61" spans="1:5" s="38" customFormat="1" x14ac:dyDescent="0.3">
      <c r="A61" s="364" t="s">
        <v>1060</v>
      </c>
      <c r="B61" s="364"/>
      <c r="C61" s="364"/>
      <c r="D61" s="364"/>
      <c r="E61" s="364"/>
    </row>
    <row r="62" spans="1:5" x14ac:dyDescent="0.25">
      <c r="A62" s="364"/>
      <c r="B62" s="364"/>
      <c r="C62" s="364"/>
      <c r="D62" s="364"/>
      <c r="E62" s="364"/>
    </row>
  </sheetData>
  <sheetProtection algorithmName="SHA-512" hashValue="lUSzk0s1IFyPUGGAtYd15IS4MfqU5bCdN6qAIQnnMPxZmZjkavZTQltV55PUDAOD+1+/vtL5sy0ScUck6UdyKQ==" saltValue="SqGFSSj0enEFHJZWJiZ5Hg==" spinCount="100000" sheet="1" formatCells="0" formatColumns="0" formatRows="0" insertColumns="0" insertRows="0" insertHyperlinks="0" deleteColumns="0" deleteRows="0" sort="0" autoFilter="0" pivotTables="0"/>
  <mergeCells count="1">
    <mergeCell ref="A61:E62"/>
  </mergeCells>
  <hyperlinks>
    <hyperlink ref="A2" location="Index!H27" display="[Back to Index]" xr:uid="{529AC412-1448-486E-B454-9AC7254755E2}"/>
  </hyperlinks>
  <pageMargins left="0.7" right="0.7" top="0.75" bottom="0.75" header="0.3" footer="0.3"/>
  <pageSetup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9BCE-F7FD-4B21-995D-50EB8DA7E2A7}">
  <sheetPr codeName="Sheet54">
    <tabColor rgb="FFBFDDAB"/>
  </sheetPr>
  <dimension ref="A1:E6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77734375" style="18"/>
  </cols>
  <sheetData>
    <row r="1" spans="1:5" s="5" customFormat="1" ht="17.399999999999999" x14ac:dyDescent="0.25">
      <c r="A1" s="112" t="s">
        <v>22</v>
      </c>
      <c r="B1" s="2" t="s">
        <v>73</v>
      </c>
      <c r="C1" s="3">
        <v>166.9288</v>
      </c>
      <c r="D1" s="4" t="s">
        <v>1045</v>
      </c>
    </row>
    <row r="2" spans="1:5" s="5" customFormat="1" x14ac:dyDescent="0.25">
      <c r="A2" s="324" t="s">
        <v>74</v>
      </c>
      <c r="C2" s="3">
        <v>28.845790000000001</v>
      </c>
      <c r="D2" s="4" t="s">
        <v>1046</v>
      </c>
    </row>
    <row r="3" spans="1:5" s="5" customFormat="1" x14ac:dyDescent="0.3">
      <c r="B3" s="38"/>
      <c r="D3" s="7"/>
    </row>
    <row r="4" spans="1:5" s="10" customFormat="1" x14ac:dyDescent="0.3">
      <c r="A4" s="8" t="s">
        <v>75</v>
      </c>
      <c r="B4" s="9" t="s">
        <v>251</v>
      </c>
      <c r="C4" s="9" t="s">
        <v>77</v>
      </c>
      <c r="D4" s="115" t="s">
        <v>78</v>
      </c>
      <c r="E4" s="116" t="s">
        <v>79</v>
      </c>
    </row>
    <row r="5" spans="1:5" s="15" customFormat="1" ht="60" x14ac:dyDescent="0.25">
      <c r="A5" s="11" t="s">
        <v>80</v>
      </c>
      <c r="B5" s="12">
        <f>SUM(B6:B7)</f>
        <v>0</v>
      </c>
      <c r="C5" s="12">
        <f>SUM(C6:C7)</f>
        <v>0</v>
      </c>
      <c r="D5" s="13"/>
      <c r="E5" s="14"/>
    </row>
    <row r="6" spans="1:5" s="15" customFormat="1" ht="45" x14ac:dyDescent="0.25">
      <c r="A6" s="14" t="s">
        <v>81</v>
      </c>
      <c r="B6" s="16"/>
      <c r="C6" s="16"/>
      <c r="D6" s="13" t="s">
        <v>1089</v>
      </c>
      <c r="E6" s="13" t="s">
        <v>298</v>
      </c>
    </row>
    <row r="7" spans="1:5" s="15" customFormat="1" ht="45" x14ac:dyDescent="0.25">
      <c r="A7" s="14" t="s">
        <v>84</v>
      </c>
      <c r="B7" s="17"/>
      <c r="C7" s="17"/>
      <c r="D7" s="13"/>
      <c r="E7" s="13"/>
    </row>
    <row r="8" spans="1:5" ht="30" x14ac:dyDescent="0.25">
      <c r="A8" s="11" t="s">
        <v>87</v>
      </c>
      <c r="B8" s="12">
        <f>SUM(B9:B11)</f>
        <v>312000000000</v>
      </c>
      <c r="C8" s="12">
        <f>SUM(C9:C11)</f>
        <v>345132743362.83185</v>
      </c>
      <c r="D8" s="13"/>
      <c r="E8" s="14"/>
    </row>
    <row r="9" spans="1:5" ht="60" x14ac:dyDescent="0.25">
      <c r="A9" s="14" t="s">
        <v>88</v>
      </c>
      <c r="B9" s="16"/>
      <c r="C9" s="16"/>
      <c r="E9" s="14"/>
    </row>
    <row r="10" spans="1:5" ht="70.2" customHeight="1" x14ac:dyDescent="0.25">
      <c r="A10" s="14" t="s">
        <v>90</v>
      </c>
      <c r="B10" s="16"/>
      <c r="C10" s="16"/>
      <c r="D10" s="24" t="s">
        <v>322</v>
      </c>
      <c r="E10" s="14" t="s">
        <v>277</v>
      </c>
    </row>
    <row r="11" spans="1:5" ht="60" x14ac:dyDescent="0.25">
      <c r="A11" s="14" t="s">
        <v>92</v>
      </c>
      <c r="B11" s="16">
        <f>(300+12)*10^9</f>
        <v>312000000000</v>
      </c>
      <c r="C11" s="16">
        <f>B11/$B$36</f>
        <v>345132743362.83185</v>
      </c>
      <c r="D11" s="13" t="s">
        <v>323</v>
      </c>
      <c r="E11" s="13" t="s">
        <v>298</v>
      </c>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29"/>
      <c r="C14" s="16"/>
      <c r="D14" s="13"/>
      <c r="E14" s="56"/>
    </row>
    <row r="15" spans="1:5" ht="45" x14ac:dyDescent="0.25">
      <c r="A15" s="11" t="s">
        <v>97</v>
      </c>
      <c r="B15" s="12"/>
      <c r="C15" s="12"/>
      <c r="D15" s="13"/>
      <c r="E15" s="14"/>
    </row>
    <row r="16" spans="1:5" ht="30" x14ac:dyDescent="0.25">
      <c r="A16" s="11" t="s">
        <v>98</v>
      </c>
      <c r="B16" s="12">
        <f>SUM(B17:B18)</f>
        <v>66810000000</v>
      </c>
      <c r="C16" s="12">
        <f>SUM(C17:C18)</f>
        <v>73904867256.637177</v>
      </c>
      <c r="D16" s="13"/>
      <c r="E16" s="14"/>
    </row>
    <row r="17" spans="1:5" ht="69.75" customHeight="1" x14ac:dyDescent="0.25">
      <c r="A17" s="13" t="s">
        <v>99</v>
      </c>
      <c r="B17" s="23">
        <f>(0.26+3.5+4.5+0.05)*10^9</f>
        <v>8310000000.000001</v>
      </c>
      <c r="C17" s="16">
        <f>B17/$B$36</f>
        <v>9192477876.1061954</v>
      </c>
      <c r="D17" s="24" t="s">
        <v>324</v>
      </c>
      <c r="E17" s="13" t="s">
        <v>298</v>
      </c>
    </row>
    <row r="18" spans="1:5" ht="67.8" customHeight="1" x14ac:dyDescent="0.25">
      <c r="A18" s="13" t="s">
        <v>101</v>
      </c>
      <c r="B18" s="23">
        <f>(8.5+1.5+48.5)*10^9</f>
        <v>58500000000</v>
      </c>
      <c r="C18" s="16">
        <f>B18/$B$36</f>
        <v>64712389380.530975</v>
      </c>
      <c r="D18" s="92" t="s">
        <v>325</v>
      </c>
      <c r="E18" s="13" t="s">
        <v>298</v>
      </c>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B22+B24</f>
        <v>0</v>
      </c>
      <c r="C21" s="12">
        <f>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9">
        <f>SUM(B27:B29)</f>
        <v>0</v>
      </c>
      <c r="C26" s="19">
        <f>SUM(C27:C29)</f>
        <v>0</v>
      </c>
      <c r="D26" s="13"/>
      <c r="E26" s="14"/>
    </row>
    <row r="27" spans="1:5" x14ac:dyDescent="0.25">
      <c r="A27" s="13" t="s">
        <v>112</v>
      </c>
      <c r="B27" s="16"/>
      <c r="C27" s="16"/>
      <c r="D27" s="13"/>
      <c r="E27" s="14"/>
    </row>
    <row r="28" spans="1:5" x14ac:dyDescent="0.25">
      <c r="A28" s="13" t="s">
        <v>115</v>
      </c>
      <c r="B28" s="16"/>
      <c r="C28" s="16"/>
      <c r="D28" s="13"/>
      <c r="E28" s="13"/>
    </row>
    <row r="29" spans="1:5" x14ac:dyDescent="0.25">
      <c r="A29" s="13" t="s">
        <v>116</v>
      </c>
      <c r="B29" s="16">
        <f>SUM(B30:B31)</f>
        <v>0</v>
      </c>
      <c r="C29" s="16">
        <f>SUM(C30:C31)</f>
        <v>0</v>
      </c>
      <c r="D29" s="13"/>
      <c r="E29" s="14"/>
    </row>
    <row r="30" spans="1:5" x14ac:dyDescent="0.25">
      <c r="A30" s="25" t="s">
        <v>117</v>
      </c>
      <c r="B30" s="119"/>
      <c r="C30" s="119"/>
      <c r="D30" s="27"/>
      <c r="E30" s="28"/>
    </row>
    <row r="31" spans="1:5" x14ac:dyDescent="0.25">
      <c r="A31" s="25" t="s">
        <v>118</v>
      </c>
      <c r="B31" s="119"/>
      <c r="C31" s="119"/>
      <c r="D31" s="25"/>
      <c r="E31" s="29"/>
    </row>
    <row r="32" spans="1:5" x14ac:dyDescent="0.25">
      <c r="A32" s="11" t="s">
        <v>119</v>
      </c>
      <c r="B32" s="12"/>
      <c r="C32" s="12"/>
      <c r="D32" s="13"/>
      <c r="E32" s="14"/>
    </row>
    <row r="33" spans="1:5" ht="19.350000000000001" customHeight="1" x14ac:dyDescent="0.25">
      <c r="A33" s="31"/>
      <c r="B33" s="120"/>
      <c r="C33" s="120"/>
      <c r="D33" s="33"/>
      <c r="E33" s="34"/>
    </row>
    <row r="34" spans="1:5" ht="19.350000000000001" customHeight="1" x14ac:dyDescent="0.25">
      <c r="A34" s="35" t="s">
        <v>120</v>
      </c>
      <c r="B34" s="132">
        <f>(SUM(B5,B8,B12,B15,B16))</f>
        <v>378810000000</v>
      </c>
      <c r="C34" s="132">
        <f>(SUM(C5,C8,C12,C15,C16))</f>
        <v>419037610619.46899</v>
      </c>
    </row>
    <row r="35" spans="1:5" x14ac:dyDescent="0.25">
      <c r="A35" s="31"/>
      <c r="B35" s="39"/>
      <c r="C35" s="40"/>
    </row>
    <row r="36" spans="1:5" x14ac:dyDescent="0.25">
      <c r="A36" s="31" t="s">
        <v>121</v>
      </c>
      <c r="B36" s="146">
        <v>0.90400000000000003</v>
      </c>
      <c r="C36" s="42"/>
    </row>
    <row r="37" spans="1:5" x14ac:dyDescent="0.25">
      <c r="A37" s="43" t="s">
        <v>122</v>
      </c>
      <c r="B37" s="45">
        <v>2410390000000</v>
      </c>
      <c r="C37" s="45">
        <v>2707070000000</v>
      </c>
    </row>
    <row r="38" spans="1:5" x14ac:dyDescent="0.25">
      <c r="A38" s="43" t="s">
        <v>123</v>
      </c>
      <c r="B38" s="45">
        <v>66987244</v>
      </c>
      <c r="C38" s="45"/>
    </row>
    <row r="39" spans="1:5" x14ac:dyDescent="0.25">
      <c r="A39" s="43"/>
      <c r="B39" s="44"/>
      <c r="C39" s="44"/>
    </row>
    <row r="40" spans="1:5" x14ac:dyDescent="0.25">
      <c r="A40" s="5"/>
      <c r="B40" s="46" t="s">
        <v>282</v>
      </c>
      <c r="C40" s="47" t="s">
        <v>125</v>
      </c>
    </row>
    <row r="41" spans="1:5" x14ac:dyDescent="0.25">
      <c r="A41" s="43" t="s">
        <v>126</v>
      </c>
      <c r="B41" s="48">
        <f>$B37/$B$38</f>
        <v>35982.820848697702</v>
      </c>
      <c r="C41" s="48">
        <f>$C37/$B$38</f>
        <v>40411.72376042221</v>
      </c>
    </row>
    <row r="42" spans="1:5" x14ac:dyDescent="0.25">
      <c r="A42" s="43" t="s">
        <v>127</v>
      </c>
      <c r="B42" s="49">
        <f>($B34/$B37)*100</f>
        <v>15.715714054572082</v>
      </c>
      <c r="C42" s="49"/>
    </row>
    <row r="43" spans="1:5" x14ac:dyDescent="0.25">
      <c r="A43" s="43" t="s">
        <v>128</v>
      </c>
      <c r="B43" s="50">
        <f>$B34/$B$38</f>
        <v>5654.9572333502774</v>
      </c>
      <c r="C43" s="50">
        <f>$C34/$B$38</f>
        <v>6255.4836652104841</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ht="30" customHeight="1" x14ac:dyDescent="0.25">
      <c r="A49" s="374" t="s">
        <v>326</v>
      </c>
      <c r="B49" s="374"/>
      <c r="C49" s="374"/>
      <c r="D49" s="374"/>
      <c r="E49" s="374"/>
    </row>
    <row r="50" spans="1:5" ht="15.6" customHeight="1" x14ac:dyDescent="0.25">
      <c r="A50" s="52" t="s">
        <v>327</v>
      </c>
      <c r="B50" s="53"/>
      <c r="C50" s="53"/>
      <c r="D50" s="53"/>
      <c r="E50" s="53"/>
    </row>
    <row r="51" spans="1:5" ht="15.6" customHeight="1" x14ac:dyDescent="0.25">
      <c r="A51" s="52" t="s">
        <v>328</v>
      </c>
      <c r="B51" s="53"/>
      <c r="C51" s="53"/>
      <c r="D51" s="53"/>
      <c r="E51" s="53"/>
    </row>
    <row r="52" spans="1:5" ht="15.6" customHeight="1" x14ac:dyDescent="0.25">
      <c r="A52" s="53"/>
      <c r="B52" s="53"/>
      <c r="C52" s="53"/>
      <c r="D52" s="53"/>
      <c r="E52" s="53"/>
    </row>
    <row r="54" spans="1:5" x14ac:dyDescent="0.25">
      <c r="A54" s="43" t="s">
        <v>131</v>
      </c>
    </row>
    <row r="55" spans="1:5" s="5" customFormat="1" ht="31.05" customHeight="1" x14ac:dyDescent="0.3">
      <c r="A55" s="374" t="s">
        <v>329</v>
      </c>
      <c r="B55" s="374"/>
      <c r="C55" s="374"/>
      <c r="D55" s="374"/>
      <c r="E55" s="374"/>
    </row>
    <row r="56" spans="1:5" s="5" customFormat="1" ht="31.05" customHeight="1" x14ac:dyDescent="0.3">
      <c r="A56" s="374" t="s">
        <v>330</v>
      </c>
      <c r="B56" s="374"/>
      <c r="C56" s="374"/>
      <c r="D56" s="374"/>
      <c r="E56" s="374"/>
    </row>
    <row r="57" spans="1:5" s="5" customFormat="1" x14ac:dyDescent="0.3">
      <c r="A57" s="374" t="s">
        <v>331</v>
      </c>
      <c r="B57" s="374"/>
      <c r="C57" s="374"/>
      <c r="D57" s="374"/>
      <c r="E57" s="374"/>
    </row>
    <row r="58" spans="1:5" s="5" customFormat="1" ht="31.05" customHeight="1" x14ac:dyDescent="0.3">
      <c r="A58" s="374" t="s">
        <v>332</v>
      </c>
      <c r="B58" s="374"/>
      <c r="C58" s="374"/>
      <c r="D58" s="374"/>
      <c r="E58" s="374"/>
    </row>
    <row r="59" spans="1:5" x14ac:dyDescent="0.25">
      <c r="A59" s="37" t="s">
        <v>309</v>
      </c>
    </row>
    <row r="60" spans="1:5" x14ac:dyDescent="0.25">
      <c r="A60" s="52"/>
    </row>
    <row r="61" spans="1:5" x14ac:dyDescent="0.25">
      <c r="A61" s="52"/>
    </row>
    <row r="62" spans="1:5" s="38" customFormat="1" x14ac:dyDescent="0.3">
      <c r="A62" s="364" t="s">
        <v>1060</v>
      </c>
      <c r="B62" s="364"/>
      <c r="C62" s="364"/>
      <c r="D62" s="364"/>
      <c r="E62" s="364"/>
    </row>
    <row r="63" spans="1:5" x14ac:dyDescent="0.25">
      <c r="A63" s="364"/>
      <c r="B63" s="364"/>
      <c r="C63" s="364"/>
      <c r="D63" s="364"/>
      <c r="E63" s="364"/>
    </row>
  </sheetData>
  <sheetProtection algorithmName="SHA-512" hashValue="4NGdzebPLfszbPFhz8t8Z2yls1tB+BLfFK2BN+P1dT0pdAtjezyR4Pq+SXQcTJf59bCBGnqNZCXHYENUjqPsGQ==" saltValue="XB/2PCEAd9v1lhWRGWinHA==" spinCount="100000" sheet="1" formatCells="0" formatColumns="0" formatRows="0" insertColumns="0" insertRows="0" insertHyperlinks="0" deleteColumns="0" deleteRows="0" sort="0" autoFilter="0" pivotTables="0"/>
  <mergeCells count="6">
    <mergeCell ref="A62:E63"/>
    <mergeCell ref="A49:E49"/>
    <mergeCell ref="A55:E55"/>
    <mergeCell ref="A56:E56"/>
    <mergeCell ref="A57:E57"/>
    <mergeCell ref="A58:E58"/>
  </mergeCells>
  <hyperlinks>
    <hyperlink ref="A2" location="Index!H28" display="[Back to Index]" xr:uid="{609F55CB-E33C-415D-A4D1-DC5F2C8EF0AF}"/>
  </hyperlinks>
  <pageMargins left="0.7" right="0.7" top="0.75" bottom="0.75" header="0.3" footer="0.3"/>
  <pageSetup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7CC6-A96F-459B-8437-DF98789A2ADD}">
  <sheetPr codeName="Sheet55">
    <tabColor rgb="FFBFDDAB"/>
  </sheetPr>
  <dimension ref="A1:E7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6640625" style="38" customWidth="1"/>
    <col min="4" max="4" width="95.6640625" style="37" customWidth="1"/>
    <col min="5" max="5" width="40.6640625" style="38" customWidth="1"/>
    <col min="6" max="16384" width="8.77734375" style="18"/>
  </cols>
  <sheetData>
    <row r="1" spans="1:5" s="5" customFormat="1" ht="17.399999999999999" x14ac:dyDescent="0.25">
      <c r="A1" s="112" t="s">
        <v>25</v>
      </c>
      <c r="B1" s="2" t="s">
        <v>73</v>
      </c>
      <c r="C1" s="214">
        <v>168.69710000000001</v>
      </c>
      <c r="D1" s="4" t="s">
        <v>1045</v>
      </c>
    </row>
    <row r="2" spans="1:5" s="5" customFormat="1" x14ac:dyDescent="0.25">
      <c r="A2" s="324" t="s">
        <v>74</v>
      </c>
      <c r="C2" s="214">
        <v>5.1779900000000003</v>
      </c>
      <c r="D2" s="4" t="s">
        <v>1046</v>
      </c>
    </row>
    <row r="3" spans="1:5" s="5" customFormat="1" x14ac:dyDescent="0.25">
      <c r="A3" s="6"/>
      <c r="D3" s="7"/>
    </row>
    <row r="4" spans="1:5" s="10" customFormat="1" x14ac:dyDescent="0.3">
      <c r="A4" s="8" t="s">
        <v>75</v>
      </c>
      <c r="B4" s="9" t="s">
        <v>251</v>
      </c>
      <c r="C4" s="9" t="s">
        <v>77</v>
      </c>
      <c r="D4" s="9" t="s">
        <v>78</v>
      </c>
      <c r="E4" s="8" t="s">
        <v>79</v>
      </c>
    </row>
    <row r="5" spans="1:5" s="15" customFormat="1" ht="60" x14ac:dyDescent="0.25">
      <c r="A5" s="11" t="s">
        <v>80</v>
      </c>
      <c r="B5" s="12">
        <f>SUM(B6:B7)</f>
        <v>457000000000</v>
      </c>
      <c r="C5" s="12">
        <f>SUM(C6:C7)</f>
        <v>505530973451.32739</v>
      </c>
      <c r="D5" s="13"/>
      <c r="E5" s="14"/>
    </row>
    <row r="6" spans="1:5" s="15" customFormat="1" ht="150" x14ac:dyDescent="0.25">
      <c r="A6" s="14" t="s">
        <v>81</v>
      </c>
      <c r="B6" s="16">
        <f>(100+357)*10^9</f>
        <v>457000000000</v>
      </c>
      <c r="C6" s="16">
        <f>B6/$B$36</f>
        <v>505530973451.32739</v>
      </c>
      <c r="D6" s="13" t="s">
        <v>1073</v>
      </c>
      <c r="E6" s="13" t="s">
        <v>632</v>
      </c>
    </row>
    <row r="7" spans="1:5" s="15" customFormat="1" ht="45" x14ac:dyDescent="0.25">
      <c r="A7" s="14" t="s">
        <v>84</v>
      </c>
      <c r="B7" s="17"/>
      <c r="C7" s="17"/>
      <c r="D7" s="13"/>
      <c r="E7" s="13"/>
    </row>
    <row r="8" spans="1:5" ht="30" x14ac:dyDescent="0.25">
      <c r="A8" s="11" t="s">
        <v>87</v>
      </c>
      <c r="B8" s="12">
        <f>SUM(B9:B11)</f>
        <v>463000000000</v>
      </c>
      <c r="C8" s="12">
        <f>SUM(C9:C11)</f>
        <v>512168141592.92035</v>
      </c>
      <c r="D8" s="13"/>
      <c r="E8" s="13"/>
    </row>
    <row r="9" spans="1:5" ht="60" x14ac:dyDescent="0.25">
      <c r="A9" s="14" t="s">
        <v>88</v>
      </c>
      <c r="B9" s="16"/>
      <c r="C9" s="16"/>
      <c r="D9" s="13"/>
      <c r="E9" s="13"/>
    </row>
    <row r="10" spans="1:5" ht="60" x14ac:dyDescent="0.25">
      <c r="A10" s="14" t="s">
        <v>90</v>
      </c>
      <c r="B10" s="16"/>
      <c r="C10" s="16"/>
      <c r="D10" s="13" t="s">
        <v>633</v>
      </c>
      <c r="E10" s="13" t="s">
        <v>634</v>
      </c>
    </row>
    <row r="11" spans="1:5" ht="135" x14ac:dyDescent="0.25">
      <c r="A11" s="14" t="s">
        <v>92</v>
      </c>
      <c r="B11" s="19">
        <f>(400+63)*10^9</f>
        <v>463000000000</v>
      </c>
      <c r="C11" s="19">
        <f>B11/$B$36</f>
        <v>512168141592.92035</v>
      </c>
      <c r="D11" s="13" t="s">
        <v>635</v>
      </c>
      <c r="E11" s="13" t="s">
        <v>636</v>
      </c>
    </row>
    <row r="12" spans="1:5" ht="45" x14ac:dyDescent="0.25">
      <c r="A12" s="11" t="s">
        <v>93</v>
      </c>
      <c r="B12" s="12">
        <f>SUM(B13:B14)</f>
        <v>0</v>
      </c>
      <c r="C12" s="12">
        <f>SUM(C13:C14)</f>
        <v>0</v>
      </c>
      <c r="D12" s="13"/>
      <c r="E12" s="13"/>
    </row>
    <row r="13" spans="1:5" ht="45" x14ac:dyDescent="0.25">
      <c r="A13" s="14" t="s">
        <v>94</v>
      </c>
      <c r="B13" s="16"/>
      <c r="C13" s="16"/>
      <c r="D13" s="13"/>
      <c r="E13" s="13"/>
    </row>
    <row r="14" spans="1:5" x14ac:dyDescent="0.25">
      <c r="A14" s="14" t="s">
        <v>96</v>
      </c>
      <c r="B14" s="16"/>
      <c r="C14" s="16"/>
      <c r="D14" s="13"/>
      <c r="E14" s="90"/>
    </row>
    <row r="15" spans="1:5" ht="345" x14ac:dyDescent="0.25">
      <c r="A15" s="11" t="s">
        <v>97</v>
      </c>
      <c r="B15" s="12">
        <f>(100+2+10)*10^9</f>
        <v>112000000000</v>
      </c>
      <c r="C15" s="12">
        <f>B15/$B$36</f>
        <v>123893805309.73451</v>
      </c>
      <c r="D15" s="13" t="s">
        <v>637</v>
      </c>
      <c r="E15" s="24" t="s">
        <v>638</v>
      </c>
    </row>
    <row r="16" spans="1:5" ht="30" x14ac:dyDescent="0.25">
      <c r="A16" s="11" t="s">
        <v>98</v>
      </c>
      <c r="B16" s="215">
        <f>SUM(B17:B18)</f>
        <v>629000000000</v>
      </c>
      <c r="C16" s="215">
        <f>SUM(C17:C18)</f>
        <v>695796460176.99109</v>
      </c>
      <c r="D16" s="13"/>
      <c r="E16" s="13"/>
    </row>
    <row r="17" spans="1:5" ht="120" x14ac:dyDescent="0.25">
      <c r="A17" s="13" t="s">
        <v>99</v>
      </c>
      <c r="B17" s="16">
        <f>(3.5+55+2.8)*10^9</f>
        <v>61300000000</v>
      </c>
      <c r="C17" s="16">
        <f>B17/$B$36</f>
        <v>67809734513.274338</v>
      </c>
      <c r="D17" s="13" t="s">
        <v>639</v>
      </c>
      <c r="E17" s="24" t="s">
        <v>640</v>
      </c>
    </row>
    <row r="18" spans="1:5" ht="330" x14ac:dyDescent="0.25">
      <c r="A18" s="13" t="s">
        <v>101</v>
      </c>
      <c r="B18" s="16">
        <f>(50+7.7+500+10)*10^9</f>
        <v>567700000000</v>
      </c>
      <c r="C18" s="16">
        <f>B18/$B$36</f>
        <v>627986725663.7168</v>
      </c>
      <c r="D18" s="13" t="s">
        <v>641</v>
      </c>
      <c r="E18" s="24" t="s">
        <v>642</v>
      </c>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16"/>
      <c r="C24" s="16"/>
      <c r="D24" s="13"/>
      <c r="E24" s="14"/>
    </row>
    <row r="25" spans="1:5" x14ac:dyDescent="0.25">
      <c r="A25" s="13" t="s">
        <v>109</v>
      </c>
      <c r="B25" s="16"/>
      <c r="C25" s="16"/>
      <c r="D25" s="13"/>
      <c r="E25" s="14"/>
    </row>
    <row r="26" spans="1:5" ht="15.45" customHeight="1" x14ac:dyDescent="0.25">
      <c r="A26" s="22" t="s">
        <v>111</v>
      </c>
      <c r="B26" s="12">
        <f>SUM(B27:B29)</f>
        <v>0</v>
      </c>
      <c r="C26" s="12">
        <f>SUM(C27:C29)</f>
        <v>0</v>
      </c>
      <c r="D26" s="13"/>
      <c r="E26" s="14"/>
    </row>
    <row r="27" spans="1:5" x14ac:dyDescent="0.25">
      <c r="A27" s="13" t="s">
        <v>112</v>
      </c>
      <c r="B27" s="16"/>
      <c r="C27" s="16"/>
      <c r="D27" s="13"/>
      <c r="E27" s="14"/>
    </row>
    <row r="28" spans="1:5" x14ac:dyDescent="0.25">
      <c r="A28" s="13" t="s">
        <v>115</v>
      </c>
      <c r="B28" s="16"/>
      <c r="C28" s="16"/>
      <c r="D28" s="13"/>
      <c r="E28" s="14"/>
    </row>
    <row r="29" spans="1:5" x14ac:dyDescent="0.25">
      <c r="A29" s="13" t="s">
        <v>116</v>
      </c>
      <c r="B29" s="19">
        <f>SUM(B30:B31)</f>
        <v>0</v>
      </c>
      <c r="C29" s="19">
        <f>SUM(C30:C31)</f>
        <v>0</v>
      </c>
      <c r="D29" s="13"/>
      <c r="E29" s="14"/>
    </row>
    <row r="30" spans="1:5" x14ac:dyDescent="0.25">
      <c r="A30" s="216" t="s">
        <v>117</v>
      </c>
      <c r="B30" s="217"/>
      <c r="C30" s="217"/>
      <c r="D30" s="216"/>
      <c r="E30" s="218"/>
    </row>
    <row r="31" spans="1:5" x14ac:dyDescent="0.25">
      <c r="A31" s="216" t="s">
        <v>118</v>
      </c>
      <c r="B31" s="217"/>
      <c r="C31" s="217"/>
      <c r="D31" s="216"/>
      <c r="E31" s="218"/>
    </row>
    <row r="32" spans="1:5" x14ac:dyDescent="0.25">
      <c r="A32" s="11" t="s">
        <v>119</v>
      </c>
      <c r="B32" s="12"/>
      <c r="C32" s="12"/>
      <c r="D32" s="13"/>
      <c r="E32" s="14"/>
    </row>
    <row r="33" spans="1:5" x14ac:dyDescent="0.25">
      <c r="A33" s="31"/>
      <c r="B33" s="219"/>
      <c r="C33" s="219"/>
      <c r="D33" s="33"/>
      <c r="E33" s="34"/>
    </row>
    <row r="34" spans="1:5" x14ac:dyDescent="0.25">
      <c r="A34" s="35" t="s">
        <v>120</v>
      </c>
      <c r="B34" s="39">
        <f>SUM(B5,B8,B12,B15,B16)</f>
        <v>1661000000000</v>
      </c>
      <c r="C34" s="39">
        <f>SUM(C5,C8,C12,C15,C16)</f>
        <v>1837389380530.9736</v>
      </c>
    </row>
    <row r="35" spans="1:5" x14ac:dyDescent="0.25">
      <c r="A35" s="31"/>
      <c r="B35" s="39"/>
      <c r="C35" s="40"/>
    </row>
    <row r="36" spans="1:5" x14ac:dyDescent="0.25">
      <c r="A36" s="31" t="s">
        <v>121</v>
      </c>
      <c r="B36" s="220">
        <v>0.90400000000000003</v>
      </c>
      <c r="C36" s="42"/>
    </row>
    <row r="37" spans="1:5" x14ac:dyDescent="0.25">
      <c r="A37" s="43" t="s">
        <v>122</v>
      </c>
      <c r="B37" s="179">
        <v>3439940000000</v>
      </c>
      <c r="C37" s="179">
        <v>3863340000000</v>
      </c>
    </row>
    <row r="38" spans="1:5" x14ac:dyDescent="0.25">
      <c r="A38" s="43" t="s">
        <v>123</v>
      </c>
      <c r="B38" s="213">
        <v>82927922</v>
      </c>
      <c r="C38" s="213"/>
    </row>
    <row r="39" spans="1:5" x14ac:dyDescent="0.25">
      <c r="A39" s="43"/>
      <c r="B39" s="44"/>
      <c r="C39" s="44"/>
    </row>
    <row r="40" spans="1:5" x14ac:dyDescent="0.25">
      <c r="A40" s="5"/>
      <c r="B40" s="46" t="s">
        <v>282</v>
      </c>
      <c r="C40" s="47" t="s">
        <v>125</v>
      </c>
    </row>
    <row r="41" spans="1:5" x14ac:dyDescent="0.25">
      <c r="A41" s="43" t="s">
        <v>126</v>
      </c>
      <c r="B41" s="48">
        <f>$B37/$B$38</f>
        <v>41481.082813096415</v>
      </c>
      <c r="C41" s="48">
        <f>$C37/$B$38</f>
        <v>46586.721418149122</v>
      </c>
    </row>
    <row r="42" spans="1:5" x14ac:dyDescent="0.25">
      <c r="A42" s="43" t="s">
        <v>127</v>
      </c>
      <c r="B42" s="49">
        <f>($B34/$B37)*100</f>
        <v>48.285725913824081</v>
      </c>
      <c r="C42" s="49"/>
    </row>
    <row r="43" spans="1:5" x14ac:dyDescent="0.25">
      <c r="A43" s="43" t="s">
        <v>128</v>
      </c>
      <c r="B43" s="50">
        <f>$B34/$B$38</f>
        <v>20029.44195321812</v>
      </c>
      <c r="C43" s="50">
        <f>$C34/$B$38</f>
        <v>22156.462337630666</v>
      </c>
    </row>
    <row r="44" spans="1:5" x14ac:dyDescent="0.25">
      <c r="A44" s="43"/>
      <c r="B44" s="51"/>
    </row>
    <row r="45" spans="1:5" x14ac:dyDescent="0.25">
      <c r="A45" s="335" t="s">
        <v>1057</v>
      </c>
      <c r="B45" s="51"/>
    </row>
    <row r="46" spans="1:5" x14ac:dyDescent="0.25">
      <c r="A46" s="43"/>
      <c r="B46" s="51"/>
    </row>
    <row r="47" spans="1:5" x14ac:dyDescent="0.25">
      <c r="A47" s="43"/>
      <c r="B47" s="51"/>
    </row>
    <row r="48" spans="1:5" x14ac:dyDescent="0.25">
      <c r="A48" s="43" t="s">
        <v>129</v>
      </c>
    </row>
    <row r="49" spans="1:5" ht="15.45" customHeight="1" x14ac:dyDescent="0.25">
      <c r="A49" s="53" t="s">
        <v>130</v>
      </c>
      <c r="B49" s="53"/>
      <c r="C49" s="53"/>
      <c r="D49" s="53"/>
      <c r="E49" s="53"/>
    </row>
    <row r="50" spans="1:5" ht="15.45" customHeight="1" x14ac:dyDescent="0.25">
      <c r="A50" s="53"/>
      <c r="B50" s="53"/>
      <c r="C50" s="53"/>
      <c r="D50" s="53"/>
      <c r="E50" s="53"/>
    </row>
    <row r="51" spans="1:5" ht="15.45" customHeight="1" x14ac:dyDescent="0.25">
      <c r="A51" s="53"/>
      <c r="B51" s="53"/>
      <c r="C51" s="53"/>
      <c r="D51" s="53"/>
      <c r="E51" s="53"/>
    </row>
    <row r="52" spans="1:5" x14ac:dyDescent="0.25">
      <c r="A52" s="43" t="s">
        <v>131</v>
      </c>
    </row>
    <row r="53" spans="1:5" ht="15.45" customHeight="1" x14ac:dyDescent="0.25">
      <c r="A53" s="364" t="s">
        <v>644</v>
      </c>
      <c r="B53" s="364"/>
      <c r="C53" s="364"/>
      <c r="D53" s="364"/>
      <c r="E53" s="364"/>
    </row>
    <row r="54" spans="1:5" x14ac:dyDescent="0.25">
      <c r="A54" s="364"/>
      <c r="B54" s="364"/>
      <c r="C54" s="364"/>
      <c r="D54" s="364"/>
      <c r="E54" s="364"/>
    </row>
    <row r="55" spans="1:5" ht="15.45" customHeight="1" x14ac:dyDescent="0.25">
      <c r="A55" s="364" t="s">
        <v>645</v>
      </c>
      <c r="B55" s="364"/>
      <c r="C55" s="364"/>
      <c r="D55" s="364"/>
      <c r="E55" s="364"/>
    </row>
    <row r="56" spans="1:5" x14ac:dyDescent="0.25">
      <c r="A56" s="364"/>
      <c r="B56" s="364"/>
      <c r="C56" s="364"/>
      <c r="D56" s="364"/>
      <c r="E56" s="364"/>
    </row>
    <row r="57" spans="1:5" s="38" customFormat="1" x14ac:dyDescent="0.3">
      <c r="A57" s="364"/>
      <c r="B57" s="364"/>
      <c r="C57" s="364"/>
      <c r="D57" s="364"/>
      <c r="E57" s="364"/>
    </row>
    <row r="58" spans="1:5" s="38" customFormat="1" x14ac:dyDescent="0.25">
      <c r="A58" s="18" t="s">
        <v>646</v>
      </c>
      <c r="B58" s="18"/>
      <c r="C58" s="18"/>
      <c r="D58" s="18"/>
      <c r="E58" s="18"/>
    </row>
    <row r="59" spans="1:5" s="38" customFormat="1" x14ac:dyDescent="0.25">
      <c r="A59" s="18" t="s">
        <v>647</v>
      </c>
      <c r="B59" s="18"/>
      <c r="C59" s="18"/>
      <c r="D59" s="18"/>
      <c r="E59" s="18"/>
    </row>
    <row r="60" spans="1:5" s="38" customFormat="1" x14ac:dyDescent="0.25">
      <c r="A60" s="37" t="s">
        <v>648</v>
      </c>
      <c r="D60" s="37"/>
    </row>
    <row r="61" spans="1:5" s="38" customFormat="1" x14ac:dyDescent="0.25">
      <c r="A61" s="5"/>
      <c r="D61" s="37"/>
    </row>
    <row r="62" spans="1:5" s="38" customFormat="1" x14ac:dyDescent="0.25">
      <c r="A62" s="5"/>
      <c r="D62" s="37"/>
    </row>
    <row r="63" spans="1:5" s="38" customFormat="1" x14ac:dyDescent="0.3">
      <c r="A63" s="364" t="s">
        <v>1061</v>
      </c>
      <c r="B63" s="364"/>
      <c r="C63" s="364"/>
      <c r="D63" s="364"/>
      <c r="E63" s="364"/>
    </row>
    <row r="64" spans="1:5" s="38" customFormat="1" x14ac:dyDescent="0.3">
      <c r="A64" s="364"/>
      <c r="B64" s="364"/>
      <c r="C64" s="364"/>
      <c r="D64" s="364"/>
      <c r="E64" s="364"/>
    </row>
    <row r="65" spans="1:4" s="38" customFormat="1" x14ac:dyDescent="0.25">
      <c r="A65" s="5"/>
      <c r="B65" s="221"/>
      <c r="D65" s="37"/>
    </row>
    <row r="66" spans="1:4" s="38" customFormat="1" x14ac:dyDescent="0.25">
      <c r="A66" s="5"/>
      <c r="B66" s="51"/>
      <c r="D66" s="37"/>
    </row>
    <row r="67" spans="1:4" s="38" customFormat="1" x14ac:dyDescent="0.25">
      <c r="A67" s="5"/>
      <c r="D67" s="37"/>
    </row>
    <row r="68" spans="1:4" s="38" customFormat="1" x14ac:dyDescent="0.25">
      <c r="A68" s="5"/>
      <c r="D68" s="37"/>
    </row>
    <row r="69" spans="1:4" s="38" customFormat="1" x14ac:dyDescent="0.25">
      <c r="A69" s="5"/>
      <c r="D69" s="37"/>
    </row>
    <row r="70" spans="1:4" s="38" customFormat="1" x14ac:dyDescent="0.25">
      <c r="A70" s="5"/>
      <c r="D70" s="37"/>
    </row>
    <row r="71" spans="1:4" s="38" customFormat="1" x14ac:dyDescent="0.25">
      <c r="A71" s="5"/>
      <c r="D71" s="37"/>
    </row>
    <row r="72" spans="1:4" s="38" customFormat="1" x14ac:dyDescent="0.25">
      <c r="A72" s="5"/>
      <c r="D72" s="37"/>
    </row>
    <row r="73" spans="1:4" s="38" customFormat="1" x14ac:dyDescent="0.25">
      <c r="A73" s="5"/>
      <c r="D73" s="37"/>
    </row>
  </sheetData>
  <sheetProtection algorithmName="SHA-512" hashValue="cGWy2U8LEhhFIapUhU0lj7R+hdOmo1j1o/HYVBEyvvdu1P4PX6UKgwem7pS+SSxzrfDYvF1VTL4g49j3aTC/Vg==" saltValue="2ISdfLMzdZYMLZ56y9R0Sg==" spinCount="100000" sheet="1" formatCells="0" formatColumns="0" formatRows="0" insertColumns="0" insertRows="0" insertHyperlinks="0" deleteColumns="0" deleteRows="0" sort="0" autoFilter="0" pivotTables="0"/>
  <mergeCells count="3">
    <mergeCell ref="A53:E54"/>
    <mergeCell ref="A55:E57"/>
    <mergeCell ref="A63:E64"/>
  </mergeCells>
  <hyperlinks>
    <hyperlink ref="A2" location="Index!H29" display="[Back to Index]" xr:uid="{2D42B371-7BDD-49C0-8831-591AC501F634}"/>
  </hyperlinks>
  <pageMargins left="0.7" right="0.7" top="0.75" bottom="0.75" header="0.3" footer="0.3"/>
  <pageSetup orientation="portrait"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420CC-7DB3-49AA-A110-46FC3ED4DF2E}">
  <sheetPr codeName="Sheet56">
    <tabColor rgb="FFBFDDAB"/>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77734375" style="18"/>
  </cols>
  <sheetData>
    <row r="1" spans="1:5" s="5" customFormat="1" ht="17.399999999999999" x14ac:dyDescent="0.25">
      <c r="A1" s="112" t="s">
        <v>28</v>
      </c>
      <c r="B1" s="2" t="s">
        <v>73</v>
      </c>
      <c r="C1" s="3">
        <v>304.06880000000001</v>
      </c>
      <c r="D1" s="4" t="s">
        <v>1045</v>
      </c>
    </row>
    <row r="2" spans="1:5" s="5" customFormat="1" x14ac:dyDescent="0.25">
      <c r="A2" s="324" t="s">
        <v>74</v>
      </c>
      <c r="C2" s="3">
        <v>11.76469</v>
      </c>
      <c r="D2" s="4" t="s">
        <v>1046</v>
      </c>
    </row>
    <row r="3" spans="1:5" s="5" customFormat="1" x14ac:dyDescent="0.3">
      <c r="B3" s="38"/>
      <c r="D3" s="7"/>
    </row>
    <row r="4" spans="1:5" s="10" customFormat="1" x14ac:dyDescent="0.3">
      <c r="A4" s="8" t="s">
        <v>75</v>
      </c>
      <c r="B4" s="9" t="s">
        <v>251</v>
      </c>
      <c r="C4" s="9" t="s">
        <v>77</v>
      </c>
      <c r="D4" s="115" t="s">
        <v>78</v>
      </c>
      <c r="E4" s="116" t="s">
        <v>79</v>
      </c>
    </row>
    <row r="5" spans="1:5" s="15" customFormat="1" ht="60" x14ac:dyDescent="0.25">
      <c r="A5" s="11" t="s">
        <v>80</v>
      </c>
      <c r="B5" s="12">
        <f>SUM(B6:B7)</f>
        <v>0</v>
      </c>
      <c r="C5" s="12">
        <f>SUM(C6:C7)</f>
        <v>0</v>
      </c>
      <c r="D5" s="13"/>
      <c r="E5" s="14"/>
    </row>
    <row r="6" spans="1:5" s="15" customFormat="1" ht="45" x14ac:dyDescent="0.25">
      <c r="A6" s="14" t="s">
        <v>81</v>
      </c>
      <c r="B6" s="150"/>
      <c r="C6" s="150"/>
      <c r="D6" s="83"/>
      <c r="E6" s="83"/>
    </row>
    <row r="7" spans="1:5" s="15" customFormat="1" ht="48" customHeight="1" x14ac:dyDescent="0.25">
      <c r="A7" s="14" t="s">
        <v>84</v>
      </c>
      <c r="B7" s="17"/>
      <c r="C7" s="17"/>
      <c r="D7" s="13" t="s">
        <v>333</v>
      </c>
      <c r="E7" s="13"/>
    </row>
    <row r="8" spans="1:5" ht="30" x14ac:dyDescent="0.25">
      <c r="A8" s="11" t="s">
        <v>87</v>
      </c>
      <c r="B8" s="12">
        <f>SUM(B9:B11)</f>
        <v>200000000</v>
      </c>
      <c r="C8" s="12">
        <f>SUM(C9:C11)</f>
        <v>221238938.05309734</v>
      </c>
      <c r="D8" s="13"/>
      <c r="E8" s="14"/>
    </row>
    <row r="9" spans="1:5" ht="93" customHeight="1" x14ac:dyDescent="0.25">
      <c r="A9" s="14" t="s">
        <v>88</v>
      </c>
      <c r="B9" s="23">
        <v>200000000</v>
      </c>
      <c r="C9" s="23">
        <f>B9/$B$36</f>
        <v>221238938.05309734</v>
      </c>
      <c r="D9" s="13" t="s">
        <v>334</v>
      </c>
      <c r="E9" s="13" t="s">
        <v>335</v>
      </c>
    </row>
    <row r="10" spans="1:5" ht="52.65" customHeight="1" x14ac:dyDescent="0.25">
      <c r="A10" s="14" t="s">
        <v>90</v>
      </c>
      <c r="B10" s="108"/>
      <c r="D10" s="24" t="s">
        <v>336</v>
      </c>
      <c r="E10" s="13" t="s">
        <v>298</v>
      </c>
    </row>
    <row r="11" spans="1:5" x14ac:dyDescent="0.25">
      <c r="A11" s="14" t="s">
        <v>92</v>
      </c>
      <c r="B11" s="23"/>
      <c r="C11" s="23">
        <f>B11/$B$36</f>
        <v>0</v>
      </c>
      <c r="D11" s="93"/>
      <c r="E11" s="13"/>
    </row>
    <row r="12" spans="1:5" ht="45" x14ac:dyDescent="0.25">
      <c r="A12" s="11" t="s">
        <v>93</v>
      </c>
      <c r="B12" s="12">
        <f>SUM(B13:B14)</f>
        <v>200000000</v>
      </c>
      <c r="C12" s="12">
        <f>SUM(C13:C14)</f>
        <v>221238938.05309734</v>
      </c>
      <c r="E12" s="14"/>
    </row>
    <row r="13" spans="1:5" ht="130.19999999999999" customHeight="1" x14ac:dyDescent="0.25">
      <c r="A13" s="14" t="s">
        <v>94</v>
      </c>
      <c r="B13" s="23">
        <v>200000000</v>
      </c>
      <c r="C13" s="23">
        <f>B13/$B$36</f>
        <v>221238938.05309734</v>
      </c>
      <c r="D13" s="13" t="s">
        <v>337</v>
      </c>
      <c r="E13" s="13" t="s">
        <v>338</v>
      </c>
    </row>
    <row r="14" spans="1:5" ht="16.649999999999999" customHeight="1" x14ac:dyDescent="0.25">
      <c r="A14" s="14" t="s">
        <v>96</v>
      </c>
      <c r="B14" s="16"/>
      <c r="C14" s="16"/>
      <c r="D14" s="13"/>
      <c r="E14" s="13"/>
    </row>
    <row r="15" spans="1:5" ht="45" x14ac:dyDescent="0.25">
      <c r="A15" s="11" t="s">
        <v>97</v>
      </c>
      <c r="B15" s="12"/>
      <c r="C15" s="12"/>
      <c r="D15" s="13"/>
      <c r="E15" s="14"/>
    </row>
    <row r="16" spans="1:5" ht="30" x14ac:dyDescent="0.25">
      <c r="A16" s="11" t="s">
        <v>98</v>
      </c>
      <c r="B16" s="12">
        <f>SUM(B17:B18)</f>
        <v>7300000000</v>
      </c>
      <c r="C16" s="12">
        <f>SUM(C17:C18)</f>
        <v>8075221238.9380531</v>
      </c>
      <c r="D16" s="13"/>
      <c r="E16" s="14"/>
    </row>
    <row r="17" spans="1:5" ht="33.75" customHeight="1" x14ac:dyDescent="0.25">
      <c r="A17" s="13" t="s">
        <v>99</v>
      </c>
      <c r="B17" s="23">
        <v>1000000000</v>
      </c>
      <c r="C17" s="23">
        <f>B17/$B$36</f>
        <v>1106194690.2654867</v>
      </c>
      <c r="D17" s="83" t="s">
        <v>339</v>
      </c>
      <c r="E17" s="13" t="s">
        <v>298</v>
      </c>
    </row>
    <row r="18" spans="1:5" ht="191.1" customHeight="1" x14ac:dyDescent="0.25">
      <c r="A18" s="13" t="s">
        <v>101</v>
      </c>
      <c r="B18" s="23">
        <f>6.3*10^9</f>
        <v>6300000000</v>
      </c>
      <c r="C18" s="23">
        <f>B18/$B$36</f>
        <v>6969026548.6725664</v>
      </c>
      <c r="D18" s="58" t="s">
        <v>340</v>
      </c>
      <c r="E18" s="13" t="s">
        <v>298</v>
      </c>
    </row>
    <row r="19" spans="1:5" ht="30" x14ac:dyDescent="0.25">
      <c r="A19" s="11" t="s">
        <v>103</v>
      </c>
      <c r="B19" s="12"/>
      <c r="C19" s="12"/>
      <c r="D19" s="13"/>
      <c r="E19" s="21"/>
    </row>
    <row r="20" spans="1:5" x14ac:dyDescent="0.25">
      <c r="A20" s="14" t="s">
        <v>104</v>
      </c>
      <c r="B20" s="16"/>
      <c r="C20" s="16"/>
      <c r="D20" s="13"/>
      <c r="E20" s="21"/>
    </row>
    <row r="21" spans="1:5" ht="19.2" customHeight="1" x14ac:dyDescent="0.25">
      <c r="A21" s="22" t="s">
        <v>105</v>
      </c>
      <c r="B21" s="12">
        <f>B22+B24</f>
        <v>0</v>
      </c>
      <c r="C21" s="12">
        <f>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x14ac:dyDescent="0.25">
      <c r="A28" s="13" t="s">
        <v>115</v>
      </c>
      <c r="B28" s="16"/>
      <c r="C28" s="16"/>
      <c r="D28" s="13"/>
      <c r="E28" s="13"/>
    </row>
    <row r="29" spans="1:5" x14ac:dyDescent="0.25">
      <c r="A29" s="13" t="s">
        <v>116</v>
      </c>
      <c r="B29" s="19">
        <f>SUM(B30:B31)</f>
        <v>0</v>
      </c>
      <c r="C29" s="19">
        <f>SUM(C30:C31)</f>
        <v>0</v>
      </c>
      <c r="D29" s="13"/>
      <c r="E29" s="14"/>
    </row>
    <row r="30" spans="1:5" x14ac:dyDescent="0.25">
      <c r="A30" s="25" t="s">
        <v>117</v>
      </c>
      <c r="B30" s="119"/>
      <c r="C30" s="119"/>
      <c r="D30" s="27"/>
      <c r="E30" s="28"/>
    </row>
    <row r="31" spans="1:5" x14ac:dyDescent="0.25">
      <c r="A31" s="25" t="s">
        <v>118</v>
      </c>
      <c r="B31" s="119"/>
      <c r="C31" s="119"/>
      <c r="D31" s="25"/>
      <c r="E31" s="29"/>
    </row>
    <row r="32" spans="1:5" x14ac:dyDescent="0.25">
      <c r="A32" s="11" t="s">
        <v>119</v>
      </c>
      <c r="B32" s="30"/>
      <c r="C32" s="12"/>
      <c r="D32" s="13"/>
      <c r="E32" s="14"/>
    </row>
    <row r="33" spans="1:5" x14ac:dyDescent="0.25">
      <c r="A33" s="31"/>
      <c r="B33" s="120"/>
      <c r="C33" s="120"/>
      <c r="D33" s="33"/>
      <c r="E33" s="34"/>
    </row>
    <row r="34" spans="1:5" x14ac:dyDescent="0.25">
      <c r="A34" s="35" t="s">
        <v>120</v>
      </c>
      <c r="B34" s="132">
        <f>(SUM(B5,B8,B12,B15,B16))</f>
        <v>7700000000</v>
      </c>
      <c r="C34" s="132">
        <f>(SUM(C5,C8,C12,C15,C16))</f>
        <v>8517699115.0442476</v>
      </c>
    </row>
    <row r="35" spans="1:5" x14ac:dyDescent="0.25">
      <c r="A35" s="31"/>
      <c r="B35" s="39"/>
      <c r="C35" s="40"/>
    </row>
    <row r="36" spans="1:5" x14ac:dyDescent="0.25">
      <c r="A36" s="31" t="s">
        <v>121</v>
      </c>
      <c r="B36" s="146">
        <v>0.90400000000000003</v>
      </c>
      <c r="C36" s="42"/>
    </row>
    <row r="37" spans="1:5" x14ac:dyDescent="0.25">
      <c r="A37" s="43" t="s">
        <v>122</v>
      </c>
      <c r="B37" s="45">
        <v>342752000000</v>
      </c>
      <c r="C37" s="45">
        <v>384940000000</v>
      </c>
    </row>
    <row r="38" spans="1:5" x14ac:dyDescent="0.25">
      <c r="A38" s="43" t="s">
        <v>123</v>
      </c>
      <c r="B38" s="45">
        <v>4853506</v>
      </c>
      <c r="C38" s="45"/>
    </row>
    <row r="39" spans="1:5" x14ac:dyDescent="0.25">
      <c r="A39" s="43"/>
      <c r="B39" s="44"/>
      <c r="C39" s="44"/>
    </row>
    <row r="40" spans="1:5" x14ac:dyDescent="0.25">
      <c r="A40" s="5"/>
      <c r="B40" s="46" t="s">
        <v>282</v>
      </c>
      <c r="C40" s="47" t="s">
        <v>125</v>
      </c>
    </row>
    <row r="41" spans="1:5" x14ac:dyDescent="0.25">
      <c r="A41" s="43" t="s">
        <v>126</v>
      </c>
      <c r="B41" s="48">
        <f>$B37/$B$38</f>
        <v>70619.465598682684</v>
      </c>
      <c r="C41" s="48">
        <f>$C37/$B$38</f>
        <v>79311.73877193105</v>
      </c>
    </row>
    <row r="42" spans="1:5" x14ac:dyDescent="0.25">
      <c r="A42" s="43" t="s">
        <v>127</v>
      </c>
      <c r="B42" s="49">
        <f>($B34/$B37)*100</f>
        <v>2.2465222668284941</v>
      </c>
      <c r="C42" s="49"/>
    </row>
    <row r="43" spans="1:5" x14ac:dyDescent="0.25">
      <c r="A43" s="43" t="s">
        <v>128</v>
      </c>
      <c r="B43" s="50">
        <f>$B34/$B$38</f>
        <v>1586.4820193896949</v>
      </c>
      <c r="C43" s="50">
        <f>$C34/$B$38</f>
        <v>1754.9579860505473</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x14ac:dyDescent="0.25">
      <c r="A49" s="133" t="s">
        <v>306</v>
      </c>
    </row>
    <row r="50" spans="1:5" x14ac:dyDescent="0.25">
      <c r="A50" s="133"/>
    </row>
    <row r="52" spans="1:5" x14ac:dyDescent="0.25">
      <c r="A52" s="43" t="s">
        <v>131</v>
      </c>
    </row>
    <row r="53" spans="1:5" s="38" customFormat="1" x14ac:dyDescent="0.25">
      <c r="A53" s="52" t="s">
        <v>341</v>
      </c>
      <c r="B53" s="37"/>
      <c r="C53" s="147"/>
      <c r="D53" s="70"/>
      <c r="E53" s="70"/>
    </row>
    <row r="54" spans="1:5" s="38" customFormat="1" x14ac:dyDescent="0.25">
      <c r="A54" s="52" t="s">
        <v>342</v>
      </c>
      <c r="B54" s="37"/>
      <c r="C54" s="147"/>
      <c r="D54" s="70"/>
      <c r="E54" s="70"/>
    </row>
    <row r="55" spans="1:5" s="38" customFormat="1" x14ac:dyDescent="0.25">
      <c r="A55" s="52" t="s">
        <v>343</v>
      </c>
      <c r="B55" s="37"/>
      <c r="C55" s="147"/>
      <c r="D55" s="70"/>
      <c r="E55" s="70"/>
    </row>
    <row r="56" spans="1:5" s="38" customFormat="1" x14ac:dyDescent="0.25">
      <c r="A56" s="37" t="s">
        <v>287</v>
      </c>
      <c r="B56" s="34"/>
      <c r="C56" s="34"/>
      <c r="D56" s="34"/>
      <c r="E56" s="34"/>
    </row>
    <row r="57" spans="1:5" s="38" customFormat="1" x14ac:dyDescent="0.3">
      <c r="A57" s="5"/>
      <c r="D57" s="70"/>
    </row>
    <row r="58" spans="1:5" s="38" customFormat="1" x14ac:dyDescent="0.3">
      <c r="D58" s="70"/>
    </row>
    <row r="59" spans="1:5" s="38" customFormat="1" x14ac:dyDescent="0.3">
      <c r="A59" s="364" t="s">
        <v>1060</v>
      </c>
      <c r="B59" s="364"/>
      <c r="C59" s="364"/>
      <c r="D59" s="364"/>
      <c r="E59" s="364"/>
    </row>
    <row r="60" spans="1:5" x14ac:dyDescent="0.25">
      <c r="A60" s="364"/>
      <c r="B60" s="364"/>
      <c r="C60" s="364"/>
      <c r="D60" s="364"/>
      <c r="E60" s="364"/>
    </row>
  </sheetData>
  <sheetProtection algorithmName="SHA-512" hashValue="kY/7EojeweiBpHRH0g2RbfpR6SC+TnMVa+C385fM17CpIe4pTOLZVXIAANgWK0uDxqBgLk9zJz3IYEMGJSC0uA==" saltValue="PBo+pGLDbDXrIu29HW3OYQ==" spinCount="100000" sheet="1" formatCells="0" formatColumns="0" formatRows="0" insertColumns="0" insertRows="0" insertHyperlinks="0" deleteColumns="0" deleteRows="0" sort="0" autoFilter="0" pivotTables="0"/>
  <mergeCells count="1">
    <mergeCell ref="A59:E60"/>
  </mergeCells>
  <hyperlinks>
    <hyperlink ref="A2" location="Index!H30" display="[Back to Index]" xr:uid="{0BCE379F-30C2-4DB7-8F18-AE5A2B6E626A}"/>
  </hyperlinks>
  <pageMargins left="0.7" right="0.7" top="0.75" bottom="0.75" header="0.3" footer="0.3"/>
  <pageSetup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DFB24-1215-4E61-84E4-613CFBD90876}">
  <sheetPr codeName="Sheet57">
    <tabColor rgb="FFBFDDAB"/>
  </sheetPr>
  <dimension ref="A1:E58"/>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77734375" style="18"/>
  </cols>
  <sheetData>
    <row r="1" spans="1:5" s="5" customFormat="1" ht="17.399999999999999" x14ac:dyDescent="0.25">
      <c r="A1" s="112" t="s">
        <v>31</v>
      </c>
      <c r="B1" s="2" t="s">
        <v>73</v>
      </c>
      <c r="C1" s="3">
        <v>291.11579999999998</v>
      </c>
      <c r="D1" s="4" t="s">
        <v>1045</v>
      </c>
    </row>
    <row r="2" spans="1:5" s="5" customFormat="1" x14ac:dyDescent="0.25">
      <c r="A2" s="324" t="s">
        <v>74</v>
      </c>
      <c r="C2" s="3">
        <v>38.435389999999998</v>
      </c>
      <c r="D2" s="4" t="s">
        <v>1046</v>
      </c>
    </row>
    <row r="3" spans="1:5" s="5" customFormat="1" x14ac:dyDescent="0.3">
      <c r="B3" s="38"/>
      <c r="D3" s="7"/>
    </row>
    <row r="4" spans="1:5" s="10" customFormat="1" x14ac:dyDescent="0.3">
      <c r="A4" s="8" t="s">
        <v>75</v>
      </c>
      <c r="B4" s="9" t="s">
        <v>251</v>
      </c>
      <c r="C4" s="9" t="s">
        <v>77</v>
      </c>
      <c r="D4" s="115" t="s">
        <v>78</v>
      </c>
      <c r="E4" s="116"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75" x14ac:dyDescent="0.25">
      <c r="A7" s="14" t="s">
        <v>84</v>
      </c>
      <c r="B7" s="17"/>
      <c r="C7" s="17"/>
      <c r="D7" s="13" t="s">
        <v>344</v>
      </c>
      <c r="E7" s="13" t="s">
        <v>298</v>
      </c>
    </row>
    <row r="8" spans="1:5" ht="30" x14ac:dyDescent="0.25">
      <c r="A8" s="11" t="s">
        <v>87</v>
      </c>
      <c r="B8" s="12">
        <f>SUM(B9:B11)</f>
        <v>431480000000</v>
      </c>
      <c r="C8" s="12">
        <f>SUM(C9:C11)</f>
        <v>477300884955.7522</v>
      </c>
      <c r="D8" s="13"/>
      <c r="E8" s="14"/>
    </row>
    <row r="9" spans="1:5" ht="60" x14ac:dyDescent="0.25">
      <c r="A9" s="14" t="s">
        <v>88</v>
      </c>
      <c r="B9" s="16"/>
      <c r="C9" s="16"/>
      <c r="D9" s="13"/>
      <c r="E9" s="14"/>
    </row>
    <row r="10" spans="1:5" ht="55.35" customHeight="1" x14ac:dyDescent="0.25">
      <c r="A10" s="14" t="s">
        <v>90</v>
      </c>
      <c r="B10" s="16"/>
      <c r="C10" s="16"/>
      <c r="D10" s="24" t="s">
        <v>345</v>
      </c>
      <c r="E10" s="13" t="s">
        <v>298</v>
      </c>
    </row>
    <row r="11" spans="1:5" ht="165.6" customHeight="1" x14ac:dyDescent="0.25">
      <c r="A11" s="14" t="s">
        <v>92</v>
      </c>
      <c r="B11" s="16">
        <f>(10+21.48+400)*10^9</f>
        <v>431480000000</v>
      </c>
      <c r="C11" s="16">
        <f>B11/$B$36</f>
        <v>477300884955.7522</v>
      </c>
      <c r="D11" s="151" t="s">
        <v>346</v>
      </c>
      <c r="E11" s="14" t="s">
        <v>347</v>
      </c>
    </row>
    <row r="12" spans="1:5" ht="45" x14ac:dyDescent="0.25">
      <c r="A12" s="11" t="s">
        <v>93</v>
      </c>
      <c r="B12" s="12">
        <f>SUM(B13:B14)</f>
        <v>50000000</v>
      </c>
      <c r="C12" s="12">
        <f>SUM(C13:C14)</f>
        <v>55309734.513274334</v>
      </c>
      <c r="D12" s="13"/>
      <c r="E12" s="14"/>
    </row>
    <row r="13" spans="1:5" ht="45" x14ac:dyDescent="0.25">
      <c r="A13" s="14" t="s">
        <v>94</v>
      </c>
      <c r="B13" s="23"/>
      <c r="C13" s="23"/>
      <c r="D13" s="13"/>
      <c r="E13" s="14"/>
    </row>
    <row r="14" spans="1:5" ht="64.2" customHeight="1" x14ac:dyDescent="0.25">
      <c r="A14" s="14" t="s">
        <v>96</v>
      </c>
      <c r="B14" s="19">
        <f>50*10^6</f>
        <v>50000000</v>
      </c>
      <c r="C14" s="19">
        <f>B14/$B$36</f>
        <v>55309734.513274334</v>
      </c>
      <c r="D14" s="13" t="s">
        <v>348</v>
      </c>
      <c r="E14" s="13" t="s">
        <v>349</v>
      </c>
    </row>
    <row r="15" spans="1:5" ht="45" x14ac:dyDescent="0.25">
      <c r="A15" s="11" t="s">
        <v>97</v>
      </c>
      <c r="B15" s="12"/>
      <c r="C15" s="12"/>
      <c r="D15" s="13"/>
      <c r="E15" s="14"/>
    </row>
    <row r="16" spans="1:5" ht="30" x14ac:dyDescent="0.25">
      <c r="A16" s="11" t="s">
        <v>98</v>
      </c>
      <c r="B16" s="12">
        <f>SUM(B17:B18)</f>
        <v>24455000000</v>
      </c>
      <c r="C16" s="12">
        <f>SUM(C17:C18)</f>
        <v>27051991150.442474</v>
      </c>
      <c r="D16" s="13"/>
      <c r="E16" s="14"/>
    </row>
    <row r="17" spans="1:5" ht="52.65" customHeight="1" x14ac:dyDescent="0.25">
      <c r="A17" s="13" t="s">
        <v>99</v>
      </c>
      <c r="B17" s="23">
        <f>3.2*10^9</f>
        <v>3200000000</v>
      </c>
      <c r="C17" s="16">
        <f>B17/$B$36</f>
        <v>3539823008.8495574</v>
      </c>
      <c r="D17" s="83" t="s">
        <v>350</v>
      </c>
      <c r="E17" s="13" t="s">
        <v>298</v>
      </c>
    </row>
    <row r="18" spans="1:5" ht="280.8" customHeight="1" x14ac:dyDescent="0.25">
      <c r="A18" s="13" t="s">
        <v>101</v>
      </c>
      <c r="B18" s="23">
        <f>(5+2.3+0.4+1.3+0.03+0.005+0.13+0.9)*10^9+(0.54+0.05+0.6+10)*10^9</f>
        <v>21255000000</v>
      </c>
      <c r="C18" s="16">
        <f>B18/$B$36</f>
        <v>23512168141.592918</v>
      </c>
      <c r="D18" s="58" t="s">
        <v>351</v>
      </c>
      <c r="E18" s="13" t="s">
        <v>298</v>
      </c>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B22+B24</f>
        <v>0</v>
      </c>
      <c r="C21" s="12">
        <f>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x14ac:dyDescent="0.25">
      <c r="A28" s="13" t="s">
        <v>115</v>
      </c>
      <c r="B28" s="16"/>
      <c r="C28" s="16"/>
      <c r="D28" s="13"/>
      <c r="E28" s="13"/>
    </row>
    <row r="29" spans="1:5" x14ac:dyDescent="0.25">
      <c r="A29" s="13" t="s">
        <v>116</v>
      </c>
      <c r="B29" s="19">
        <f>SUM(B30:B31)</f>
        <v>0</v>
      </c>
      <c r="C29" s="19">
        <f>SUM(C30:C31)</f>
        <v>0</v>
      </c>
      <c r="D29" s="13"/>
      <c r="E29" s="14"/>
    </row>
    <row r="30" spans="1:5" x14ac:dyDescent="0.25">
      <c r="A30" s="25" t="s">
        <v>117</v>
      </c>
      <c r="B30" s="119"/>
      <c r="C30" s="119"/>
      <c r="D30" s="27"/>
      <c r="E30" s="28"/>
    </row>
    <row r="31" spans="1:5" x14ac:dyDescent="0.25">
      <c r="A31" s="25" t="s">
        <v>118</v>
      </c>
      <c r="B31" s="119"/>
      <c r="C31" s="119"/>
      <c r="D31" s="25"/>
      <c r="E31" s="29"/>
    </row>
    <row r="32" spans="1:5" x14ac:dyDescent="0.25">
      <c r="A32" s="11" t="s">
        <v>119</v>
      </c>
      <c r="B32" s="30"/>
      <c r="C32" s="12"/>
      <c r="D32" s="13"/>
      <c r="E32" s="13"/>
    </row>
    <row r="33" spans="1:5" x14ac:dyDescent="0.25">
      <c r="A33" s="31"/>
      <c r="B33" s="120"/>
      <c r="C33" s="120"/>
      <c r="D33" s="33"/>
      <c r="E33" s="34"/>
    </row>
    <row r="34" spans="1:5" x14ac:dyDescent="0.25">
      <c r="A34" s="35" t="s">
        <v>120</v>
      </c>
      <c r="B34" s="132">
        <f>(SUM(B5,B8,B12,B15,B16))</f>
        <v>455985000000</v>
      </c>
      <c r="C34" s="132">
        <f>(SUM(C5,C8,C12,C15,C16))</f>
        <v>504408185840.70789</v>
      </c>
    </row>
    <row r="35" spans="1:5" x14ac:dyDescent="0.25">
      <c r="A35" s="31"/>
      <c r="B35" s="39"/>
      <c r="C35" s="40"/>
      <c r="D35" s="33"/>
    </row>
    <row r="36" spans="1:5" x14ac:dyDescent="0.25">
      <c r="A36" s="31" t="s">
        <v>121</v>
      </c>
      <c r="B36" s="146">
        <v>0.90400000000000003</v>
      </c>
      <c r="C36" s="42"/>
    </row>
    <row r="37" spans="1:5" x14ac:dyDescent="0.25">
      <c r="A37" s="43" t="s">
        <v>122</v>
      </c>
      <c r="B37" s="45">
        <v>1770690000000</v>
      </c>
      <c r="C37" s="45">
        <v>1988640000000</v>
      </c>
    </row>
    <row r="38" spans="1:5" x14ac:dyDescent="0.25">
      <c r="A38" s="43" t="s">
        <v>123</v>
      </c>
      <c r="B38" s="45">
        <v>60431283</v>
      </c>
      <c r="C38" s="45"/>
    </row>
    <row r="39" spans="1:5" x14ac:dyDescent="0.25">
      <c r="A39" s="43"/>
      <c r="B39" s="44"/>
      <c r="C39" s="44"/>
    </row>
    <row r="40" spans="1:5" x14ac:dyDescent="0.25">
      <c r="A40" s="5"/>
      <c r="B40" s="46" t="s">
        <v>282</v>
      </c>
      <c r="C40" s="47" t="s">
        <v>125</v>
      </c>
    </row>
    <row r="41" spans="1:5" x14ac:dyDescent="0.25">
      <c r="A41" s="43" t="s">
        <v>126</v>
      </c>
      <c r="B41" s="48">
        <f>$B37/$B$38</f>
        <v>29300.883782328434</v>
      </c>
      <c r="C41" s="48">
        <f>$C37/$B$38</f>
        <v>32907.459535485948</v>
      </c>
    </row>
    <row r="42" spans="1:5" x14ac:dyDescent="0.25">
      <c r="A42" s="43" t="s">
        <v>127</v>
      </c>
      <c r="B42" s="49">
        <f>($B34/$B37)*100</f>
        <v>25.751825559527642</v>
      </c>
      <c r="C42" s="49"/>
    </row>
    <row r="43" spans="1:5" x14ac:dyDescent="0.25">
      <c r="A43" s="43" t="s">
        <v>128</v>
      </c>
      <c r="B43" s="50">
        <f>$B34/$B$38</f>
        <v>7545.512479025143</v>
      </c>
      <c r="C43" s="50">
        <f>$C34/$B$38</f>
        <v>8346.8058396295819</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c r="D47" s="33"/>
    </row>
    <row r="48" spans="1:5" x14ac:dyDescent="0.25">
      <c r="A48" s="43" t="s">
        <v>129</v>
      </c>
    </row>
    <row r="49" spans="1:5" ht="15.6" customHeight="1" x14ac:dyDescent="0.25">
      <c r="A49" s="133" t="s">
        <v>306</v>
      </c>
      <c r="B49" s="18"/>
      <c r="C49" s="152"/>
      <c r="D49" s="50"/>
      <c r="E49" s="153"/>
    </row>
    <row r="50" spans="1:5" ht="15.6" customHeight="1" x14ac:dyDescent="0.25">
      <c r="A50" s="18"/>
      <c r="B50" s="18"/>
      <c r="C50" s="152"/>
      <c r="D50" s="50"/>
      <c r="E50" s="153"/>
    </row>
    <row r="51" spans="1:5" x14ac:dyDescent="0.25">
      <c r="A51" s="43" t="s">
        <v>131</v>
      </c>
    </row>
    <row r="52" spans="1:5" s="38" customFormat="1" x14ac:dyDescent="0.25">
      <c r="A52" s="136" t="s">
        <v>352</v>
      </c>
      <c r="B52" s="37"/>
      <c r="C52" s="147"/>
      <c r="D52" s="70"/>
      <c r="E52" s="70"/>
    </row>
    <row r="53" spans="1:5" s="38" customFormat="1" x14ac:dyDescent="0.25">
      <c r="A53" s="136" t="s">
        <v>353</v>
      </c>
      <c r="B53" s="37"/>
      <c r="C53" s="147"/>
      <c r="D53" s="70"/>
      <c r="E53" s="70"/>
    </row>
    <row r="54" spans="1:5" s="38" customFormat="1" x14ac:dyDescent="0.25">
      <c r="A54" s="37" t="s">
        <v>287</v>
      </c>
      <c r="B54" s="37"/>
      <c r="C54" s="147"/>
      <c r="D54" s="70"/>
      <c r="E54" s="70"/>
    </row>
    <row r="55" spans="1:5" s="38" customFormat="1" x14ac:dyDescent="0.3">
      <c r="A55" s="34"/>
      <c r="B55" s="34"/>
      <c r="C55" s="34"/>
      <c r="D55" s="34"/>
      <c r="E55" s="34"/>
    </row>
    <row r="56" spans="1:5" s="38" customFormat="1" x14ac:dyDescent="0.3">
      <c r="A56" s="5"/>
      <c r="D56" s="70"/>
    </row>
    <row r="57" spans="1:5" s="38" customFormat="1" x14ac:dyDescent="0.3">
      <c r="A57" s="364" t="s">
        <v>1060</v>
      </c>
      <c r="B57" s="364"/>
      <c r="C57" s="364"/>
      <c r="D57" s="364"/>
      <c r="E57" s="364"/>
    </row>
    <row r="58" spans="1:5" x14ac:dyDescent="0.25">
      <c r="A58" s="364"/>
      <c r="B58" s="364"/>
      <c r="C58" s="364"/>
      <c r="D58" s="364"/>
      <c r="E58" s="364"/>
    </row>
  </sheetData>
  <sheetProtection algorithmName="SHA-512" hashValue="wNBVnDnOsJVBic6S5zKoP9Z/RG2cQpjXRBmSJPKNQX+HX/lUjFzjnJMk2JlOsK/1RtpCPdbP0LFHpgWpf1bBYw==" saltValue="gpUf4BRZf/sGyNKSkKNtlg==" spinCount="100000" sheet="1" formatCells="0" formatColumns="0" formatRows="0" insertColumns="0" insertRows="0" insertHyperlinks="0" deleteColumns="0" deleteRows="0" sort="0" autoFilter="0" pivotTables="0"/>
  <mergeCells count="1">
    <mergeCell ref="A57:E58"/>
  </mergeCells>
  <hyperlinks>
    <hyperlink ref="A2" location="Index!H31" display="[Back to Index]" xr:uid="{C2088E72-38E3-4095-BC83-D50B7B66470D}"/>
  </hyperlinks>
  <pageMargins left="0.7" right="0.7" top="0.75" bottom="0.75" header="0.3" footer="0.3"/>
  <pageSetup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22300-F6C2-4B88-AE39-4D727E834AB7}">
  <sheetPr codeName="Sheet58">
    <tabColor rgb="FFBFDDAB"/>
  </sheetPr>
  <dimension ref="A1:E60"/>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33</v>
      </c>
      <c r="B1" s="2" t="s">
        <v>73</v>
      </c>
      <c r="C1" s="214">
        <v>8.1886299999999999</v>
      </c>
      <c r="D1" s="4" t="s">
        <v>1045</v>
      </c>
    </row>
    <row r="2" spans="1:5" s="5" customFormat="1" x14ac:dyDescent="0.25">
      <c r="A2" s="324" t="s">
        <v>74</v>
      </c>
      <c r="C2" s="214">
        <v>0.12724350000000001</v>
      </c>
      <c r="D2" s="4" t="s">
        <v>1046</v>
      </c>
    </row>
    <row r="3" spans="1:5" x14ac:dyDescent="0.25">
      <c r="A3" s="154"/>
      <c r="B3" s="222"/>
      <c r="C3" s="142"/>
    </row>
    <row r="4" spans="1:5" s="10" customFormat="1" x14ac:dyDescent="0.3">
      <c r="A4" s="8" t="s">
        <v>75</v>
      </c>
      <c r="B4" s="9" t="s">
        <v>649</v>
      </c>
      <c r="C4" s="9" t="s">
        <v>77</v>
      </c>
      <c r="D4" s="9" t="s">
        <v>78</v>
      </c>
      <c r="E4" s="8" t="s">
        <v>79</v>
      </c>
    </row>
    <row r="5" spans="1:5" s="15" customFormat="1" ht="60" x14ac:dyDescent="0.25">
      <c r="A5" s="11" t="s">
        <v>80</v>
      </c>
      <c r="B5" s="12">
        <f>SUM(B6:B7)</f>
        <v>0</v>
      </c>
      <c r="C5" s="12">
        <f>SUM(C6:C7)</f>
        <v>0</v>
      </c>
      <c r="D5" s="13"/>
      <c r="E5" s="14"/>
    </row>
    <row r="6" spans="1:5" s="15" customFormat="1" ht="60" x14ac:dyDescent="0.25">
      <c r="A6" s="14" t="s">
        <v>81</v>
      </c>
      <c r="B6" s="16"/>
      <c r="C6" s="16"/>
      <c r="D6" s="13" t="s">
        <v>650</v>
      </c>
      <c r="E6" s="14" t="s">
        <v>651</v>
      </c>
    </row>
    <row r="7" spans="1:5" s="15" customFormat="1" ht="60" x14ac:dyDescent="0.25">
      <c r="A7" s="14" t="s">
        <v>84</v>
      </c>
      <c r="B7" s="17"/>
      <c r="C7" s="17"/>
      <c r="D7" s="13" t="s">
        <v>652</v>
      </c>
      <c r="E7" s="14" t="s">
        <v>185</v>
      </c>
    </row>
    <row r="8" spans="1:5" ht="30" x14ac:dyDescent="0.25">
      <c r="A8" s="11" t="s">
        <v>87</v>
      </c>
      <c r="B8" s="12">
        <f>SUM(B9:B10)</f>
        <v>0</v>
      </c>
      <c r="C8" s="12">
        <f>SUM(C9:C10)</f>
        <v>0</v>
      </c>
      <c r="D8" s="13"/>
      <c r="E8" s="14"/>
    </row>
    <row r="9" spans="1:5" ht="60" x14ac:dyDescent="0.25">
      <c r="A9" s="14" t="s">
        <v>88</v>
      </c>
      <c r="B9" s="16"/>
      <c r="C9" s="16"/>
      <c r="D9" s="13" t="s">
        <v>653</v>
      </c>
      <c r="E9" s="14" t="s">
        <v>185</v>
      </c>
    </row>
    <row r="10" spans="1:5" ht="135" x14ac:dyDescent="0.25">
      <c r="A10" s="14" t="s">
        <v>90</v>
      </c>
      <c r="B10" s="16"/>
      <c r="C10" s="16"/>
      <c r="D10" s="13" t="s">
        <v>654</v>
      </c>
      <c r="E10" s="14" t="s">
        <v>185</v>
      </c>
    </row>
    <row r="11" spans="1:5" x14ac:dyDescent="0.25">
      <c r="A11" s="14" t="s">
        <v>92</v>
      </c>
      <c r="B11" s="19"/>
      <c r="C11" s="19"/>
      <c r="D11" s="13"/>
      <c r="E11" s="14"/>
    </row>
    <row r="12" spans="1:5" ht="45" x14ac:dyDescent="0.25">
      <c r="A12" s="11" t="s">
        <v>93</v>
      </c>
      <c r="B12" s="12">
        <f>SUM(B13:B14)</f>
        <v>0</v>
      </c>
      <c r="C12" s="12">
        <f>SUM(C13:C14)</f>
        <v>0</v>
      </c>
      <c r="D12" s="13"/>
      <c r="E12" s="14"/>
    </row>
    <row r="13" spans="1:5" ht="60" x14ac:dyDescent="0.25">
      <c r="A13" s="14" t="s">
        <v>94</v>
      </c>
      <c r="B13" s="16"/>
      <c r="C13" s="16"/>
      <c r="D13" s="13" t="s">
        <v>655</v>
      </c>
      <c r="E13" s="14" t="s">
        <v>185</v>
      </c>
    </row>
    <row r="14" spans="1:5" x14ac:dyDescent="0.25">
      <c r="A14" s="14" t="s">
        <v>96</v>
      </c>
      <c r="B14" s="16"/>
      <c r="C14" s="16"/>
      <c r="D14" s="13"/>
      <c r="E14" s="14"/>
    </row>
    <row r="15" spans="1:5" ht="60" x14ac:dyDescent="0.25">
      <c r="A15" s="11" t="s">
        <v>97</v>
      </c>
      <c r="B15" s="12"/>
      <c r="C15" s="12"/>
      <c r="D15" s="13" t="s">
        <v>656</v>
      </c>
      <c r="E15" s="14" t="s">
        <v>185</v>
      </c>
    </row>
    <row r="16" spans="1:5" ht="165.6" customHeight="1" x14ac:dyDescent="0.25">
      <c r="A16" s="11" t="s">
        <v>98</v>
      </c>
      <c r="B16" s="12">
        <f>108.2*1000000000000</f>
        <v>108200000000000</v>
      </c>
      <c r="C16" s="12">
        <f>B16/$B$36</f>
        <v>1008453487179.9651</v>
      </c>
      <c r="D16" s="13" t="s">
        <v>657</v>
      </c>
      <c r="E16" s="14" t="s">
        <v>658</v>
      </c>
    </row>
    <row r="17" spans="1:5" x14ac:dyDescent="0.25">
      <c r="A17" s="13" t="s">
        <v>99</v>
      </c>
      <c r="B17" s="16"/>
      <c r="C17" s="16"/>
      <c r="D17" s="13"/>
      <c r="E17" s="14"/>
    </row>
    <row r="18" spans="1:5" x14ac:dyDescent="0.25">
      <c r="A18" s="13" t="s">
        <v>101</v>
      </c>
      <c r="B18" s="16"/>
      <c r="C18" s="16"/>
      <c r="D18" s="13"/>
      <c r="E18" s="14"/>
    </row>
    <row r="19" spans="1:5" ht="30" x14ac:dyDescent="0.25">
      <c r="A19" s="11" t="s">
        <v>103</v>
      </c>
      <c r="B19" s="12"/>
      <c r="C19" s="12"/>
      <c r="D19" s="13"/>
      <c r="E19" s="14"/>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ht="60" x14ac:dyDescent="0.25">
      <c r="A24" s="22" t="s">
        <v>110</v>
      </c>
      <c r="B24" s="16"/>
      <c r="C24" s="16"/>
      <c r="D24" s="13" t="s">
        <v>659</v>
      </c>
      <c r="E24" s="14" t="s">
        <v>185</v>
      </c>
    </row>
    <row r="25" spans="1:5" x14ac:dyDescent="0.25">
      <c r="A25" s="13" t="s">
        <v>109</v>
      </c>
      <c r="B25" s="16"/>
      <c r="C25" s="16"/>
      <c r="D25" s="13"/>
      <c r="E25" s="14"/>
    </row>
    <row r="26" spans="1:5" x14ac:dyDescent="0.25">
      <c r="A26" s="22" t="s">
        <v>111</v>
      </c>
      <c r="B26" s="12">
        <f>SUM(B27:B29)</f>
        <v>21042303160000</v>
      </c>
      <c r="C26" s="12">
        <f>SUM(C27:C29)</f>
        <v>196120000000</v>
      </c>
      <c r="D26" s="13"/>
      <c r="E26" s="14"/>
    </row>
    <row r="27" spans="1:5" ht="180" x14ac:dyDescent="0.25">
      <c r="A27" s="13" t="s">
        <v>112</v>
      </c>
      <c r="B27" s="16">
        <f>C27*$B$36</f>
        <v>21031573860000</v>
      </c>
      <c r="C27" s="16">
        <f>196.02*10^9</f>
        <v>196020000000</v>
      </c>
      <c r="D27" s="13" t="s">
        <v>660</v>
      </c>
      <c r="E27" s="13" t="s">
        <v>661</v>
      </c>
    </row>
    <row r="28" spans="1:5" x14ac:dyDescent="0.25">
      <c r="A28" s="13" t="s">
        <v>115</v>
      </c>
      <c r="B28" s="16"/>
      <c r="C28" s="16"/>
      <c r="D28" s="13"/>
      <c r="E28" s="14"/>
    </row>
    <row r="29" spans="1:5" ht="60" x14ac:dyDescent="0.25">
      <c r="A29" s="13" t="s">
        <v>116</v>
      </c>
      <c r="B29" s="19">
        <f>C29*$B$36</f>
        <v>10729300000</v>
      </c>
      <c r="C29" s="19">
        <f>100*10^6</f>
        <v>100000000</v>
      </c>
      <c r="D29" s="13" t="s">
        <v>662</v>
      </c>
      <c r="E29" s="14" t="s">
        <v>185</v>
      </c>
    </row>
    <row r="30" spans="1:5" x14ac:dyDescent="0.25">
      <c r="A30" s="216" t="s">
        <v>117</v>
      </c>
      <c r="B30" s="217"/>
      <c r="C30" s="217"/>
      <c r="D30" s="216"/>
      <c r="E30" s="223"/>
    </row>
    <row r="31" spans="1:5" x14ac:dyDescent="0.25">
      <c r="A31" s="216" t="s">
        <v>118</v>
      </c>
      <c r="B31" s="217"/>
      <c r="C31" s="217"/>
      <c r="D31" s="216"/>
      <c r="E31" s="218"/>
    </row>
    <row r="32" spans="1:5" x14ac:dyDescent="0.25">
      <c r="A32" s="11" t="s">
        <v>119</v>
      </c>
      <c r="B32" s="12"/>
      <c r="C32" s="12"/>
      <c r="D32" s="13"/>
      <c r="E32" s="14"/>
    </row>
    <row r="33" spans="1:5" x14ac:dyDescent="0.25">
      <c r="A33" s="31"/>
      <c r="B33" s="219"/>
      <c r="C33" s="219"/>
      <c r="D33" s="33"/>
      <c r="E33" s="34"/>
    </row>
    <row r="34" spans="1:5" x14ac:dyDescent="0.25">
      <c r="A34" s="35" t="s">
        <v>120</v>
      </c>
      <c r="B34" s="39">
        <f>SUM(B5,B8,B12,B15,B16)</f>
        <v>108200000000000</v>
      </c>
      <c r="C34" s="39">
        <f>SUM(C5,C8,C12,C15,C16)</f>
        <v>1008453487179.9651</v>
      </c>
    </row>
    <row r="35" spans="1:5" x14ac:dyDescent="0.25">
      <c r="A35" s="31"/>
      <c r="B35" s="39"/>
      <c r="C35" s="40"/>
    </row>
    <row r="36" spans="1:5" x14ac:dyDescent="0.25">
      <c r="A36" s="31" t="s">
        <v>121</v>
      </c>
      <c r="B36" s="220">
        <v>107.29300000000001</v>
      </c>
      <c r="C36" s="42"/>
    </row>
    <row r="37" spans="1:5" x14ac:dyDescent="0.25">
      <c r="A37" s="43" t="s">
        <v>122</v>
      </c>
      <c r="B37" s="135">
        <v>557715700000000</v>
      </c>
      <c r="C37" s="135">
        <v>5154480000000</v>
      </c>
    </row>
    <row r="38" spans="1:5" x14ac:dyDescent="0.25">
      <c r="A38" s="43" t="s">
        <v>123</v>
      </c>
      <c r="B38" s="224">
        <v>126529100</v>
      </c>
      <c r="C38" s="224"/>
    </row>
    <row r="39" spans="1:5" x14ac:dyDescent="0.25">
      <c r="A39" s="43"/>
      <c r="B39" s="44"/>
      <c r="C39" s="44"/>
    </row>
    <row r="40" spans="1:5" x14ac:dyDescent="0.25">
      <c r="A40" s="5"/>
      <c r="B40" s="46" t="s">
        <v>663</v>
      </c>
      <c r="C40" s="47" t="s">
        <v>125</v>
      </c>
    </row>
    <row r="41" spans="1:5" x14ac:dyDescent="0.25">
      <c r="A41" s="43" t="s">
        <v>126</v>
      </c>
      <c r="B41" s="48">
        <f>$B37/$B$38</f>
        <v>4407805.7932918202</v>
      </c>
      <c r="C41" s="48">
        <f>$C37/$B$38</f>
        <v>40737.506233743858</v>
      </c>
    </row>
    <row r="42" spans="1:5" x14ac:dyDescent="0.25">
      <c r="A42" s="43" t="s">
        <v>127</v>
      </c>
      <c r="B42" s="49">
        <f>($B34/$B37)*100</f>
        <v>19.400565556967468</v>
      </c>
      <c r="C42" s="49"/>
    </row>
    <row r="43" spans="1:5" x14ac:dyDescent="0.25">
      <c r="A43" s="43" t="s">
        <v>128</v>
      </c>
      <c r="B43" s="50">
        <f>$B34/$B38</f>
        <v>855139.25255138939</v>
      </c>
      <c r="C43" s="50">
        <f>$C34/$B$38</f>
        <v>7970.1308804058917</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s="37" customFormat="1" ht="15.45" customHeight="1" x14ac:dyDescent="0.25">
      <c r="A49" s="53" t="s">
        <v>664</v>
      </c>
      <c r="B49" s="139"/>
      <c r="C49" s="139"/>
      <c r="D49" s="139"/>
      <c r="E49" s="70"/>
    </row>
    <row r="50" spans="1:5" s="37" customFormat="1" ht="15.45" customHeight="1" x14ac:dyDescent="0.25">
      <c r="A50" s="53"/>
      <c r="B50" s="139"/>
      <c r="C50" s="139"/>
      <c r="D50" s="139"/>
      <c r="E50" s="70"/>
    </row>
    <row r="52" spans="1:5" x14ac:dyDescent="0.25">
      <c r="A52" s="43" t="s">
        <v>131</v>
      </c>
    </row>
    <row r="53" spans="1:5" s="38" customFormat="1" ht="15.45" customHeight="1" x14ac:dyDescent="0.3">
      <c r="A53" s="364" t="s">
        <v>665</v>
      </c>
      <c r="B53" s="364"/>
      <c r="C53" s="364"/>
      <c r="D53" s="364"/>
      <c r="E53" s="364"/>
    </row>
    <row r="54" spans="1:5" s="38" customFormat="1" x14ac:dyDescent="0.3">
      <c r="A54" s="364"/>
      <c r="B54" s="364"/>
      <c r="C54" s="364"/>
      <c r="D54" s="364"/>
      <c r="E54" s="364"/>
    </row>
    <row r="55" spans="1:5" s="38" customFormat="1" x14ac:dyDescent="0.3">
      <c r="A55" s="364"/>
      <c r="B55" s="364"/>
      <c r="C55" s="364"/>
      <c r="D55" s="364"/>
      <c r="E55" s="364"/>
    </row>
    <row r="56" spans="1:5" s="38" customFormat="1" x14ac:dyDescent="0.25">
      <c r="A56" s="5" t="s">
        <v>666</v>
      </c>
      <c r="D56" s="37"/>
    </row>
    <row r="57" spans="1:5" s="38" customFormat="1" x14ac:dyDescent="0.25">
      <c r="A57" s="5"/>
      <c r="D57" s="37"/>
    </row>
    <row r="58" spans="1:5" s="38" customFormat="1" x14ac:dyDescent="0.25">
      <c r="A58" s="5"/>
      <c r="D58" s="37"/>
    </row>
    <row r="59" spans="1:5" x14ac:dyDescent="0.25">
      <c r="A59" s="364" t="s">
        <v>1061</v>
      </c>
      <c r="B59" s="364"/>
      <c r="C59" s="364"/>
      <c r="D59" s="364"/>
      <c r="E59" s="364"/>
    </row>
    <row r="60" spans="1:5" x14ac:dyDescent="0.25">
      <c r="A60" s="364"/>
      <c r="B60" s="364"/>
      <c r="C60" s="364"/>
      <c r="D60" s="364"/>
      <c r="E60" s="364"/>
    </row>
  </sheetData>
  <sheetProtection algorithmName="SHA-512" hashValue="RAXQWxwZL4aZ30CK17Swl+eKYITgibERBG5BkOy2M8WprwrfPHFFWCJzaxhgyzfn+oCYixy8MgbosfIAun891g==" saltValue="RNgKQpkBI3BaYrinAUiW6Q==" spinCount="100000" sheet="1" formatCells="0" formatColumns="0" formatRows="0" insertColumns="0" insertRows="0" insertHyperlinks="0" deleteColumns="0" deleteRows="0" sort="0" autoFilter="0" pivotTables="0"/>
  <mergeCells count="2">
    <mergeCell ref="A53:E55"/>
    <mergeCell ref="A59:E60"/>
  </mergeCells>
  <hyperlinks>
    <hyperlink ref="A2" location="Index!H32" display="[Back to Index]" xr:uid="{7AFEB372-B613-4E3D-8C53-DF1243425B95}"/>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8C93B-5420-4842-89E0-649EA2EDFC15}">
  <sheetPr codeName="Sheet59">
    <tabColor rgb="FFBFDDAB"/>
  </sheetPr>
  <dimension ref="A1:E66"/>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2" width="27.5546875" style="70" customWidth="1"/>
    <col min="3" max="3" width="27.6640625" style="70" customWidth="1"/>
    <col min="4" max="4" width="95.6640625" style="37" customWidth="1"/>
    <col min="5" max="5" width="40.6640625" style="70" customWidth="1"/>
    <col min="6" max="16384" width="8.77734375" style="37"/>
  </cols>
  <sheetData>
    <row r="1" spans="1:5" s="7" customFormat="1" ht="17.399999999999999" x14ac:dyDescent="0.25">
      <c r="A1" s="112" t="s">
        <v>35</v>
      </c>
      <c r="B1" s="74" t="s">
        <v>73</v>
      </c>
      <c r="C1" s="173">
        <v>582.00379999999996</v>
      </c>
      <c r="D1" s="4" t="s">
        <v>1045</v>
      </c>
    </row>
    <row r="2" spans="1:5" s="7" customFormat="1" x14ac:dyDescent="0.25">
      <c r="A2" s="324" t="s">
        <v>74</v>
      </c>
      <c r="C2" s="173">
        <v>11.84741</v>
      </c>
      <c r="D2" s="4" t="s">
        <v>1046</v>
      </c>
    </row>
    <row r="3" spans="1:5" x14ac:dyDescent="0.25">
      <c r="A3" s="35"/>
      <c r="B3" s="174"/>
      <c r="C3" s="175"/>
    </row>
    <row r="4" spans="1:5" s="62" customFormat="1" x14ac:dyDescent="0.3">
      <c r="A4" s="9" t="s">
        <v>75</v>
      </c>
      <c r="B4" s="9" t="s">
        <v>251</v>
      </c>
      <c r="C4" s="9" t="s">
        <v>77</v>
      </c>
      <c r="D4" s="9" t="s">
        <v>78</v>
      </c>
      <c r="E4" s="9" t="s">
        <v>79</v>
      </c>
    </row>
    <row r="5" spans="1:5" s="63" customFormat="1" ht="60" x14ac:dyDescent="0.25">
      <c r="A5" s="22" t="s">
        <v>80</v>
      </c>
      <c r="B5" s="87">
        <f>SUM(B6:B7)</f>
        <v>0</v>
      </c>
      <c r="C5" s="87">
        <f>SUM(C6:C7)</f>
        <v>0</v>
      </c>
      <c r="D5" s="13"/>
      <c r="E5" s="13"/>
    </row>
    <row r="6" spans="1:5" s="63" customFormat="1" ht="42.6" customHeight="1" x14ac:dyDescent="0.25">
      <c r="A6" s="13" t="s">
        <v>81</v>
      </c>
      <c r="B6" s="97"/>
      <c r="C6" s="97"/>
      <c r="D6" s="13"/>
      <c r="E6" s="13"/>
    </row>
    <row r="7" spans="1:5" s="63" customFormat="1" ht="67.2" customHeight="1" x14ac:dyDescent="0.25">
      <c r="A7" s="13" t="s">
        <v>84</v>
      </c>
      <c r="B7" s="98"/>
      <c r="C7" s="98"/>
      <c r="D7" s="13" t="s">
        <v>417</v>
      </c>
      <c r="E7" s="13" t="s">
        <v>175</v>
      </c>
    </row>
    <row r="8" spans="1:5" ht="33.6" customHeight="1" x14ac:dyDescent="0.25">
      <c r="A8" s="22" t="s">
        <v>87</v>
      </c>
      <c r="B8" s="20">
        <f>SUM(B9:B11)</f>
        <v>2500000000</v>
      </c>
      <c r="C8" s="20">
        <f>SUM(C9:C11)</f>
        <v>2765486725.6637168</v>
      </c>
      <c r="D8" s="13"/>
      <c r="E8" s="13"/>
    </row>
    <row r="9" spans="1:5" ht="60" x14ac:dyDescent="0.25">
      <c r="A9" s="13" t="s">
        <v>166</v>
      </c>
      <c r="B9" s="97"/>
      <c r="C9" s="97"/>
      <c r="D9" s="13"/>
      <c r="E9" s="13"/>
    </row>
    <row r="10" spans="1:5" ht="114.6" customHeight="1" x14ac:dyDescent="0.25">
      <c r="A10" s="13" t="s">
        <v>90</v>
      </c>
      <c r="B10" s="97"/>
      <c r="C10" s="97"/>
      <c r="D10" s="13" t="s">
        <v>418</v>
      </c>
      <c r="E10" s="13" t="s">
        <v>175</v>
      </c>
    </row>
    <row r="11" spans="1:5" ht="84.6" customHeight="1" x14ac:dyDescent="0.25">
      <c r="A11" s="13" t="s">
        <v>92</v>
      </c>
      <c r="B11" s="16">
        <v>2500000000</v>
      </c>
      <c r="C11" s="16">
        <f>+B11/$B$36</f>
        <v>2765486725.6637168</v>
      </c>
      <c r="D11" s="13" t="s">
        <v>419</v>
      </c>
      <c r="E11" s="13" t="s">
        <v>420</v>
      </c>
    </row>
    <row r="12" spans="1:5" ht="45" x14ac:dyDescent="0.25">
      <c r="A12" s="22" t="s">
        <v>93</v>
      </c>
      <c r="B12" s="12">
        <f>SUM(B13:B14)</f>
        <v>1000000000</v>
      </c>
      <c r="C12" s="12">
        <f>SUM(C13:C14)</f>
        <v>1106194690.2654867</v>
      </c>
      <c r="D12" s="13"/>
      <c r="E12" s="13"/>
    </row>
    <row r="13" spans="1:5" ht="210" x14ac:dyDescent="0.25">
      <c r="A13" s="13" t="s">
        <v>171</v>
      </c>
      <c r="B13" s="16">
        <f>(700+300)*10^6</f>
        <v>1000000000</v>
      </c>
      <c r="C13" s="16">
        <f>+B13/$B$36</f>
        <v>1106194690.2654867</v>
      </c>
      <c r="D13" s="13" t="s">
        <v>421</v>
      </c>
      <c r="E13" s="13" t="s">
        <v>422</v>
      </c>
    </row>
    <row r="14" spans="1:5" ht="97.8" customHeight="1" x14ac:dyDescent="0.25">
      <c r="A14" s="13" t="s">
        <v>96</v>
      </c>
      <c r="B14" s="97"/>
      <c r="C14" s="97"/>
      <c r="D14" s="13" t="s">
        <v>423</v>
      </c>
      <c r="E14" s="13" t="s">
        <v>424</v>
      </c>
    </row>
    <row r="15" spans="1:5" ht="45" x14ac:dyDescent="0.25">
      <c r="A15" s="22" t="s">
        <v>97</v>
      </c>
      <c r="B15" s="87"/>
      <c r="C15" s="87"/>
      <c r="D15" s="13"/>
      <c r="E15" s="13"/>
    </row>
    <row r="16" spans="1:5" ht="30" x14ac:dyDescent="0.25">
      <c r="A16" s="22" t="s">
        <v>98</v>
      </c>
      <c r="B16" s="12">
        <f>SUM(B17:B18)</f>
        <v>6100000000</v>
      </c>
      <c r="C16" s="12">
        <f>SUM(C17:C18)</f>
        <v>6747787610.6194687</v>
      </c>
      <c r="D16" s="13"/>
      <c r="E16" s="13"/>
    </row>
    <row r="17" spans="1:5" ht="85.2" customHeight="1" x14ac:dyDescent="0.25">
      <c r="A17" s="13" t="s">
        <v>99</v>
      </c>
      <c r="B17" s="16">
        <v>150000000</v>
      </c>
      <c r="C17" s="19">
        <f t="shared" ref="C17:C18" si="0">+B17/$B$36</f>
        <v>165929203.539823</v>
      </c>
      <c r="D17" s="13" t="s">
        <v>425</v>
      </c>
      <c r="E17" s="13" t="s">
        <v>420</v>
      </c>
    </row>
    <row r="18" spans="1:5" ht="95.4" customHeight="1" x14ac:dyDescent="0.25">
      <c r="A18" s="13" t="s">
        <v>101</v>
      </c>
      <c r="B18" s="16">
        <f>(1.45+4.5)*10^9</f>
        <v>5950000000</v>
      </c>
      <c r="C18" s="19">
        <f t="shared" si="0"/>
        <v>6581858407.0796461</v>
      </c>
      <c r="D18" s="13" t="s">
        <v>426</v>
      </c>
      <c r="E18" s="13" t="s">
        <v>83</v>
      </c>
    </row>
    <row r="19" spans="1:5" ht="30" x14ac:dyDescent="0.25">
      <c r="A19" s="22" t="s">
        <v>103</v>
      </c>
      <c r="B19" s="97"/>
      <c r="C19" s="97"/>
      <c r="D19" s="13"/>
      <c r="E19" s="66"/>
    </row>
    <row r="20" spans="1:5" x14ac:dyDescent="0.25">
      <c r="A20" s="13" t="s">
        <v>104</v>
      </c>
      <c r="B20" s="97"/>
      <c r="C20" s="97"/>
      <c r="D20" s="13"/>
      <c r="E20" s="66"/>
    </row>
    <row r="21" spans="1:5" ht="30" x14ac:dyDescent="0.25">
      <c r="A21" s="22" t="s">
        <v>105</v>
      </c>
      <c r="B21" s="87">
        <f>SUM(B22,B24)</f>
        <v>0</v>
      </c>
      <c r="C21" s="87">
        <f>SUM(C22,C24)</f>
        <v>0</v>
      </c>
      <c r="D21" s="13"/>
      <c r="E21" s="13"/>
    </row>
    <row r="22" spans="1:5" x14ac:dyDescent="0.25">
      <c r="A22" s="22" t="s">
        <v>108</v>
      </c>
      <c r="B22" s="97"/>
      <c r="C22" s="97"/>
      <c r="D22" s="13"/>
      <c r="E22" s="13"/>
    </row>
    <row r="23" spans="1:5" x14ac:dyDescent="0.25">
      <c r="A23" s="13" t="s">
        <v>109</v>
      </c>
      <c r="B23" s="97"/>
      <c r="C23" s="97"/>
      <c r="D23" s="13"/>
      <c r="E23" s="13"/>
    </row>
    <row r="24" spans="1:5" x14ac:dyDescent="0.25">
      <c r="A24" s="22" t="s">
        <v>110</v>
      </c>
      <c r="B24" s="97"/>
      <c r="C24" s="97"/>
      <c r="D24" s="13"/>
      <c r="E24" s="13"/>
    </row>
    <row r="25" spans="1:5" x14ac:dyDescent="0.25">
      <c r="A25" s="13" t="s">
        <v>109</v>
      </c>
      <c r="B25" s="97"/>
      <c r="C25" s="97"/>
      <c r="D25" s="13"/>
      <c r="E25" s="13"/>
    </row>
    <row r="26" spans="1:5" x14ac:dyDescent="0.25">
      <c r="A26" s="22" t="s">
        <v>111</v>
      </c>
      <c r="B26" s="87">
        <f>SUM(B27:B29)</f>
        <v>0</v>
      </c>
      <c r="C26" s="87">
        <f>SUM(C27:C29)</f>
        <v>0</v>
      </c>
      <c r="D26" s="13"/>
      <c r="E26" s="118"/>
    </row>
    <row r="27" spans="1:5" x14ac:dyDescent="0.25">
      <c r="A27" s="13" t="s">
        <v>112</v>
      </c>
      <c r="B27" s="97"/>
      <c r="C27" s="97"/>
      <c r="D27" s="13"/>
      <c r="E27" s="13"/>
    </row>
    <row r="28" spans="1:5" x14ac:dyDescent="0.25">
      <c r="A28" s="13" t="s">
        <v>115</v>
      </c>
      <c r="B28" s="97"/>
      <c r="C28" s="97"/>
      <c r="D28" s="13"/>
      <c r="E28" s="13"/>
    </row>
    <row r="29" spans="1:5" x14ac:dyDescent="0.25">
      <c r="A29" s="13" t="s">
        <v>116</v>
      </c>
      <c r="B29" s="97"/>
      <c r="C29" s="97"/>
      <c r="D29" s="13"/>
      <c r="E29" s="13"/>
    </row>
    <row r="30" spans="1:5" x14ac:dyDescent="0.25">
      <c r="A30" s="25" t="s">
        <v>117</v>
      </c>
      <c r="B30" s="119"/>
      <c r="C30" s="119"/>
      <c r="D30" s="25"/>
      <c r="E30" s="25"/>
    </row>
    <row r="31" spans="1:5" x14ac:dyDescent="0.25">
      <c r="A31" s="25" t="s">
        <v>118</v>
      </c>
      <c r="B31" s="119"/>
      <c r="C31" s="119"/>
      <c r="D31" s="25"/>
      <c r="E31" s="25"/>
    </row>
    <row r="32" spans="1:5" x14ac:dyDescent="0.25">
      <c r="A32" s="22" t="s">
        <v>119</v>
      </c>
      <c r="B32" s="97"/>
      <c r="C32" s="97"/>
      <c r="D32" s="13"/>
      <c r="E32" s="13"/>
    </row>
    <row r="33" spans="1:5" x14ac:dyDescent="0.25">
      <c r="A33" s="35"/>
      <c r="B33" s="176"/>
      <c r="C33" s="176"/>
      <c r="D33" s="33"/>
      <c r="E33" s="33"/>
    </row>
    <row r="34" spans="1:5" x14ac:dyDescent="0.25">
      <c r="A34" s="35" t="s">
        <v>120</v>
      </c>
      <c r="B34" s="71">
        <f>+B5+B8+B12+B15+B16+B19+B21</f>
        <v>9600000000</v>
      </c>
      <c r="C34" s="71">
        <f>+C5+C8+C12+C15+C16+C19+C21</f>
        <v>10619469026.548672</v>
      </c>
    </row>
    <row r="35" spans="1:5" x14ac:dyDescent="0.25">
      <c r="A35" s="35"/>
      <c r="B35" s="71"/>
      <c r="C35" s="72"/>
    </row>
    <row r="36" spans="1:5" x14ac:dyDescent="0.25">
      <c r="A36" s="35" t="s">
        <v>121</v>
      </c>
      <c r="B36" s="177">
        <v>0.90400000000000003</v>
      </c>
      <c r="C36" s="178"/>
    </row>
    <row r="37" spans="1:5" x14ac:dyDescent="0.25">
      <c r="A37" s="75" t="s">
        <v>122</v>
      </c>
      <c r="B37" s="179">
        <v>61554000000</v>
      </c>
      <c r="C37" s="179">
        <v>69453000000</v>
      </c>
    </row>
    <row r="38" spans="1:5" x14ac:dyDescent="0.25">
      <c r="A38" s="75" t="s">
        <v>123</v>
      </c>
      <c r="B38" s="179">
        <v>607728</v>
      </c>
      <c r="C38" s="48"/>
    </row>
    <row r="39" spans="1:5" x14ac:dyDescent="0.25">
      <c r="A39" s="75"/>
      <c r="B39" s="76"/>
      <c r="C39" s="76"/>
    </row>
    <row r="40" spans="1:5" x14ac:dyDescent="0.25">
      <c r="A40" s="7"/>
      <c r="B40" s="46" t="s">
        <v>282</v>
      </c>
      <c r="C40" s="47" t="s">
        <v>125</v>
      </c>
    </row>
    <row r="41" spans="1:5" x14ac:dyDescent="0.25">
      <c r="A41" s="75" t="s">
        <v>126</v>
      </c>
      <c r="B41" s="48">
        <f>$B37/$B38</f>
        <v>101285.44348787615</v>
      </c>
      <c r="C41" s="48">
        <f>$C37/$B38</f>
        <v>114283.03451544112</v>
      </c>
    </row>
    <row r="42" spans="1:5" x14ac:dyDescent="0.25">
      <c r="A42" s="75" t="s">
        <v>127</v>
      </c>
      <c r="B42" s="49">
        <f>($B34/$B37)*100</f>
        <v>15.596061994346428</v>
      </c>
      <c r="C42" s="49"/>
    </row>
    <row r="43" spans="1:5" x14ac:dyDescent="0.25">
      <c r="A43" s="75" t="s">
        <v>128</v>
      </c>
      <c r="B43" s="78">
        <f>B34/B38</f>
        <v>15796.540557617882</v>
      </c>
      <c r="C43" s="78">
        <f>C34/B38</f>
        <v>17474.049289400311</v>
      </c>
    </row>
    <row r="44" spans="1:5" x14ac:dyDescent="0.25">
      <c r="A44" s="75"/>
      <c r="B44" s="78"/>
      <c r="C44" s="78"/>
    </row>
    <row r="45" spans="1:5" x14ac:dyDescent="0.25">
      <c r="A45" s="335" t="s">
        <v>1057</v>
      </c>
      <c r="B45" s="78"/>
      <c r="C45" s="78"/>
    </row>
    <row r="46" spans="1:5" x14ac:dyDescent="0.25">
      <c r="A46" s="75"/>
      <c r="B46" s="78"/>
      <c r="C46" s="78"/>
    </row>
    <row r="47" spans="1:5" x14ac:dyDescent="0.25">
      <c r="A47" s="75"/>
      <c r="B47" s="79"/>
    </row>
    <row r="48" spans="1:5" x14ac:dyDescent="0.25">
      <c r="A48" s="75" t="s">
        <v>129</v>
      </c>
    </row>
    <row r="49" spans="1:5" x14ac:dyDescent="0.25">
      <c r="A49" s="37" t="s">
        <v>427</v>
      </c>
      <c r="B49" s="37"/>
      <c r="C49" s="37"/>
      <c r="E49" s="37"/>
    </row>
    <row r="50" spans="1:5" ht="15.45" customHeight="1" x14ac:dyDescent="0.25">
      <c r="A50" s="37" t="s">
        <v>428</v>
      </c>
      <c r="B50" s="139"/>
      <c r="C50" s="139"/>
      <c r="D50" s="139"/>
    </row>
    <row r="51" spans="1:5" ht="15.45" customHeight="1" x14ac:dyDescent="0.25">
      <c r="A51" s="37" t="s">
        <v>429</v>
      </c>
      <c r="B51" s="139"/>
      <c r="C51" s="139"/>
      <c r="D51" s="139"/>
    </row>
    <row r="52" spans="1:5" ht="15.45" customHeight="1" x14ac:dyDescent="0.25">
      <c r="A52" s="37" t="s">
        <v>430</v>
      </c>
      <c r="B52" s="139"/>
      <c r="C52" s="139"/>
      <c r="D52" s="139"/>
    </row>
    <row r="53" spans="1:5" ht="15.45" customHeight="1" x14ac:dyDescent="0.25">
      <c r="A53" s="37"/>
      <c r="B53" s="139"/>
      <c r="C53" s="139"/>
      <c r="D53" s="139"/>
    </row>
    <row r="54" spans="1:5" ht="15.45" customHeight="1" x14ac:dyDescent="0.25">
      <c r="A54" s="37"/>
      <c r="B54" s="139"/>
      <c r="C54" s="139"/>
      <c r="D54" s="139"/>
    </row>
    <row r="55" spans="1:5" x14ac:dyDescent="0.25">
      <c r="A55" s="75" t="s">
        <v>131</v>
      </c>
    </row>
    <row r="56" spans="1:5" s="70" customFormat="1" x14ac:dyDescent="0.25">
      <c r="A56" s="7" t="s">
        <v>431</v>
      </c>
      <c r="D56" s="37"/>
    </row>
    <row r="57" spans="1:5" s="70" customFormat="1" x14ac:dyDescent="0.25">
      <c r="A57" s="7" t="s">
        <v>432</v>
      </c>
      <c r="D57" s="37"/>
    </row>
    <row r="58" spans="1:5" s="70" customFormat="1" x14ac:dyDescent="0.25">
      <c r="A58" s="7" t="s">
        <v>433</v>
      </c>
      <c r="D58" s="37"/>
    </row>
    <row r="59" spans="1:5" s="70" customFormat="1" x14ac:dyDescent="0.25">
      <c r="A59" s="7" t="s">
        <v>434</v>
      </c>
      <c r="D59" s="37"/>
    </row>
    <row r="60" spans="1:5" s="70" customFormat="1" x14ac:dyDescent="0.25">
      <c r="A60" s="7" t="s">
        <v>435</v>
      </c>
      <c r="D60" s="37"/>
    </row>
    <row r="61" spans="1:5" s="70" customFormat="1" x14ac:dyDescent="0.25">
      <c r="A61" s="37" t="s">
        <v>436</v>
      </c>
      <c r="D61" s="37"/>
    </row>
    <row r="62" spans="1:5" s="70" customFormat="1" x14ac:dyDescent="0.25">
      <c r="A62" s="7"/>
      <c r="D62" s="37"/>
    </row>
    <row r="63" spans="1:5" s="70" customFormat="1" x14ac:dyDescent="0.25">
      <c r="A63" s="7"/>
      <c r="D63" s="37"/>
    </row>
    <row r="64" spans="1:5" x14ac:dyDescent="0.25">
      <c r="A64" s="367" t="s">
        <v>1060</v>
      </c>
      <c r="B64" s="367"/>
      <c r="C64" s="367"/>
      <c r="D64" s="367"/>
      <c r="E64" s="367"/>
    </row>
    <row r="65" spans="1:5" s="70" customFormat="1" x14ac:dyDescent="0.3">
      <c r="A65" s="367"/>
      <c r="B65" s="367"/>
      <c r="C65" s="367"/>
      <c r="D65" s="367"/>
      <c r="E65" s="367"/>
    </row>
    <row r="66" spans="1:5" s="70" customFormat="1" x14ac:dyDescent="0.25">
      <c r="A66" s="7"/>
      <c r="D66" s="37"/>
    </row>
  </sheetData>
  <sheetProtection algorithmName="SHA-512" hashValue="xaU1ZYqPGIIL5AQQimzfEBqXJ0SnSkaWinpIwbCo97e6o43UVpPwa267agtsDRZTyn8DYTq43IGXeiEKuJUl5w==" saltValue="kkkrgRQu7fguqR7EZjphuQ==" spinCount="100000" sheet="1" formatCells="0" formatColumns="0" formatRows="0" insertColumns="0" insertRows="0" insertHyperlinks="0" deleteColumns="0" deleteRows="0" sort="0" autoFilter="0" pivotTables="0"/>
  <mergeCells count="1">
    <mergeCell ref="A64:E65"/>
  </mergeCells>
  <hyperlinks>
    <hyperlink ref="A2" location="Index!H33" display="[Back to Index]" xr:uid="{5FEF7C57-2FAA-48D2-A7CD-C9274D03B676}"/>
  </hyperlinks>
  <pageMargins left="0.7" right="0.7" top="0.75" bottom="0.75" header="0.3" footer="0.3"/>
  <pageSetup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73459-7A68-4C3E-9367-577F1F46E53C}">
  <sheetPr codeName="Sheet6">
    <tabColor theme="7" tint="0.79998168889431442"/>
  </sheetPr>
  <dimension ref="A1:E59"/>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14</v>
      </c>
      <c r="B1" s="2" t="s">
        <v>73</v>
      </c>
      <c r="C1" s="3">
        <v>16.826000000000001</v>
      </c>
      <c r="D1" s="4" t="s">
        <v>1045</v>
      </c>
    </row>
    <row r="2" spans="1:5" s="5" customFormat="1" x14ac:dyDescent="0.25">
      <c r="A2" s="324" t="s">
        <v>74</v>
      </c>
      <c r="C2" s="3">
        <v>0.27911180000000002</v>
      </c>
      <c r="D2" s="4" t="s">
        <v>1046</v>
      </c>
    </row>
    <row r="3" spans="1:5" x14ac:dyDescent="0.25">
      <c r="A3" s="154"/>
      <c r="B3" s="222"/>
      <c r="C3" s="142"/>
    </row>
    <row r="4" spans="1:5" s="10" customFormat="1" x14ac:dyDescent="0.3">
      <c r="A4" s="8" t="s">
        <v>75</v>
      </c>
      <c r="B4" s="9" t="s">
        <v>741</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45" x14ac:dyDescent="0.25">
      <c r="A7" s="14" t="s">
        <v>84</v>
      </c>
      <c r="B7" s="17"/>
      <c r="C7" s="17"/>
      <c r="D7" s="13" t="s">
        <v>742</v>
      </c>
      <c r="E7" s="13"/>
    </row>
    <row r="8" spans="1:5" ht="30" x14ac:dyDescent="0.25">
      <c r="A8" s="11" t="s">
        <v>87</v>
      </c>
      <c r="B8" s="12">
        <f>SUM(B9:B11)</f>
        <v>93100000000</v>
      </c>
      <c r="C8" s="12">
        <f>SUM(C9:C11)</f>
        <v>21671322160.148975</v>
      </c>
      <c r="D8" s="13"/>
      <c r="E8" s="14"/>
    </row>
    <row r="9" spans="1:5" ht="60" x14ac:dyDescent="0.25">
      <c r="A9" s="14" t="s">
        <v>88</v>
      </c>
      <c r="B9" s="16"/>
      <c r="C9" s="16"/>
      <c r="D9" s="13"/>
      <c r="E9" s="14"/>
    </row>
    <row r="10" spans="1:5" ht="210" x14ac:dyDescent="0.25">
      <c r="A10" s="14" t="s">
        <v>90</v>
      </c>
      <c r="B10" s="16">
        <f>(30+13.1)*10^9</f>
        <v>43100000000</v>
      </c>
      <c r="C10" s="16">
        <f>B10/$B$36</f>
        <v>10032588454.376163</v>
      </c>
      <c r="D10" s="24" t="s">
        <v>1041</v>
      </c>
      <c r="E10" s="14" t="s">
        <v>681</v>
      </c>
    </row>
    <row r="11" spans="1:5" ht="60" x14ac:dyDescent="0.25">
      <c r="A11" s="14" t="s">
        <v>92</v>
      </c>
      <c r="B11" s="19">
        <f>50*10^9</f>
        <v>50000000000</v>
      </c>
      <c r="C11" s="19">
        <f>B11/$B$36</f>
        <v>11638733705.772812</v>
      </c>
      <c r="D11" s="13" t="s">
        <v>743</v>
      </c>
      <c r="E11" s="14" t="s">
        <v>686</v>
      </c>
    </row>
    <row r="12" spans="1:5" ht="45" x14ac:dyDescent="0.25">
      <c r="A12" s="11" t="s">
        <v>93</v>
      </c>
      <c r="B12" s="12">
        <f>SUM(B13:B14)</f>
        <v>0</v>
      </c>
      <c r="C12" s="12">
        <f>SUM(C13:C14)</f>
        <v>0</v>
      </c>
      <c r="D12" s="13"/>
      <c r="E12" s="14"/>
    </row>
    <row r="13" spans="1:5" ht="45" x14ac:dyDescent="0.25">
      <c r="A13" s="14" t="s">
        <v>94</v>
      </c>
      <c r="B13" s="23"/>
      <c r="C13" s="23"/>
      <c r="D13" s="13"/>
      <c r="E13" s="14"/>
    </row>
    <row r="14" spans="1:5" x14ac:dyDescent="0.25">
      <c r="A14" s="14" t="s">
        <v>96</v>
      </c>
      <c r="B14" s="16"/>
      <c r="C14" s="16"/>
      <c r="D14" s="13"/>
      <c r="E14" s="14"/>
    </row>
    <row r="15" spans="1:5" ht="45" x14ac:dyDescent="0.25">
      <c r="A15" s="11" t="s">
        <v>97</v>
      </c>
      <c r="B15" s="12"/>
      <c r="C15" s="12"/>
      <c r="D15" s="13"/>
      <c r="E15" s="14"/>
    </row>
    <row r="16" spans="1:5" ht="210" x14ac:dyDescent="0.25">
      <c r="A16" s="11" t="s">
        <v>98</v>
      </c>
      <c r="B16" s="12">
        <f>(6+25+10)*10^9</f>
        <v>41000000000</v>
      </c>
      <c r="C16" s="12">
        <f>B16/$B$36</f>
        <v>9543761638.7337055</v>
      </c>
      <c r="D16" s="13" t="s">
        <v>744</v>
      </c>
      <c r="E16" s="14" t="s">
        <v>686</v>
      </c>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0</v>
      </c>
      <c r="C26" s="12">
        <f>SUM(C27:C29)</f>
        <v>0</v>
      </c>
      <c r="D26" s="13"/>
      <c r="E26" s="14"/>
    </row>
    <row r="27" spans="1:5" x14ac:dyDescent="0.25">
      <c r="A27" s="13" t="s">
        <v>112</v>
      </c>
      <c r="B27" s="16"/>
      <c r="C27" s="16"/>
      <c r="D27" s="13"/>
      <c r="E27" s="14"/>
    </row>
    <row r="28" spans="1:5" x14ac:dyDescent="0.25">
      <c r="A28" s="13" t="s">
        <v>115</v>
      </c>
      <c r="B28" s="16"/>
      <c r="C28" s="16"/>
      <c r="D28" s="13"/>
      <c r="E28" s="13"/>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x14ac:dyDescent="0.25">
      <c r="A32" s="11" t="s">
        <v>119</v>
      </c>
      <c r="B32" s="30"/>
      <c r="C32" s="12"/>
      <c r="D32" s="13"/>
      <c r="E32" s="14"/>
    </row>
    <row r="33" spans="1:5" x14ac:dyDescent="0.25">
      <c r="A33" s="31"/>
      <c r="B33" s="120"/>
      <c r="C33" s="120"/>
      <c r="D33" s="33"/>
      <c r="E33" s="34"/>
    </row>
    <row r="34" spans="1:5" x14ac:dyDescent="0.25">
      <c r="A34" s="35" t="s">
        <v>120</v>
      </c>
      <c r="B34" s="39">
        <f>SUM(B5,B8,B12,B15,B16)</f>
        <v>134100000000</v>
      </c>
      <c r="C34" s="39">
        <f>SUM(C5,C8,C12,C15,C16)</f>
        <v>31215083798.882683</v>
      </c>
    </row>
    <row r="35" spans="1:5" x14ac:dyDescent="0.25">
      <c r="A35" s="31"/>
      <c r="B35" s="39"/>
      <c r="C35" s="40"/>
    </row>
    <row r="36" spans="1:5" x14ac:dyDescent="0.25">
      <c r="A36" s="31" t="s">
        <v>121</v>
      </c>
      <c r="B36" s="88">
        <v>4.2960000000000003</v>
      </c>
      <c r="C36" s="42"/>
    </row>
    <row r="37" spans="1:5" x14ac:dyDescent="0.25">
      <c r="A37" s="43" t="s">
        <v>122</v>
      </c>
      <c r="B37" s="45">
        <v>1526750000000</v>
      </c>
      <c r="C37" s="45">
        <v>365303000000</v>
      </c>
    </row>
    <row r="38" spans="1:5" x14ac:dyDescent="0.25">
      <c r="A38" s="43" t="s">
        <v>123</v>
      </c>
      <c r="B38" s="45">
        <v>31528585</v>
      </c>
      <c r="C38" s="45"/>
    </row>
    <row r="39" spans="1:5" x14ac:dyDescent="0.25">
      <c r="A39" s="43"/>
      <c r="B39" s="44"/>
      <c r="C39" s="44"/>
    </row>
    <row r="40" spans="1:5" x14ac:dyDescent="0.25">
      <c r="A40" s="5"/>
      <c r="B40" s="46" t="s">
        <v>745</v>
      </c>
      <c r="C40" s="47" t="s">
        <v>125</v>
      </c>
    </row>
    <row r="41" spans="1:5" x14ac:dyDescent="0.25">
      <c r="A41" s="43" t="s">
        <v>126</v>
      </c>
      <c r="B41" s="48">
        <f>$B37/$B$38</f>
        <v>48424.310827777394</v>
      </c>
      <c r="C41" s="48">
        <f>$C37/$B$38</f>
        <v>11586.40643086266</v>
      </c>
    </row>
    <row r="42" spans="1:5" x14ac:dyDescent="0.25">
      <c r="A42" s="43" t="s">
        <v>127</v>
      </c>
      <c r="B42" s="49">
        <f>($B34/$B37)*100</f>
        <v>8.7833633535287383</v>
      </c>
      <c r="C42" s="49"/>
    </row>
    <row r="43" spans="1:5" x14ac:dyDescent="0.25">
      <c r="A43" s="43" t="s">
        <v>128</v>
      </c>
      <c r="B43" s="50">
        <f>$B34/$B$38</f>
        <v>4253.283171445848</v>
      </c>
      <c r="C43" s="50">
        <f>$C34/$B$38</f>
        <v>990.05660415406157</v>
      </c>
    </row>
    <row r="44" spans="1:5" x14ac:dyDescent="0.25">
      <c r="A44" s="43"/>
      <c r="B44" s="50"/>
      <c r="C44" s="50"/>
    </row>
    <row r="45" spans="1:5" x14ac:dyDescent="0.25">
      <c r="A45" s="336" t="s">
        <v>1055</v>
      </c>
      <c r="B45" s="50"/>
      <c r="C45" s="50"/>
    </row>
    <row r="46" spans="1:5" x14ac:dyDescent="0.25">
      <c r="A46" s="43"/>
      <c r="B46" s="50"/>
      <c r="C46" s="50"/>
    </row>
    <row r="47" spans="1:5" x14ac:dyDescent="0.25">
      <c r="A47" s="43"/>
      <c r="B47" s="51"/>
    </row>
    <row r="48" spans="1:5" x14ac:dyDescent="0.25">
      <c r="A48" s="75" t="s">
        <v>129</v>
      </c>
    </row>
    <row r="49" spans="1:5" ht="15.45" customHeight="1" x14ac:dyDescent="0.25">
      <c r="A49" s="52" t="s">
        <v>746</v>
      </c>
      <c r="B49" s="53"/>
      <c r="C49" s="53"/>
      <c r="D49" s="53"/>
      <c r="E49" s="53"/>
    </row>
    <row r="50" spans="1:5" ht="15.45" customHeight="1" x14ac:dyDescent="0.25">
      <c r="A50" s="52" t="s">
        <v>136</v>
      </c>
      <c r="B50" s="53"/>
      <c r="C50" s="53"/>
      <c r="D50" s="53"/>
      <c r="E50" s="53"/>
    </row>
    <row r="51" spans="1:5" ht="15.45" customHeight="1" x14ac:dyDescent="0.25">
      <c r="A51" s="188" t="s">
        <v>747</v>
      </c>
      <c r="B51" s="53"/>
      <c r="C51" s="53"/>
      <c r="D51" s="53"/>
      <c r="E51" s="53"/>
    </row>
    <row r="52" spans="1:5" x14ac:dyDescent="0.25">
      <c r="A52" s="70"/>
    </row>
    <row r="53" spans="1:5" x14ac:dyDescent="0.25">
      <c r="A53" s="75" t="s">
        <v>131</v>
      </c>
    </row>
    <row r="54" spans="1:5" s="38" customFormat="1" x14ac:dyDescent="0.25">
      <c r="A54" s="54" t="s">
        <v>748</v>
      </c>
      <c r="B54" s="37"/>
      <c r="C54" s="147"/>
      <c r="D54" s="37"/>
      <c r="E54" s="37"/>
    </row>
    <row r="55" spans="1:5" s="38" customFormat="1" x14ac:dyDescent="0.25">
      <c r="A55" s="5" t="s">
        <v>740</v>
      </c>
      <c r="B55" s="37"/>
      <c r="C55" s="147"/>
      <c r="D55" s="37"/>
      <c r="E55" s="37"/>
    </row>
    <row r="56" spans="1:5" s="38" customFormat="1" x14ac:dyDescent="0.25">
      <c r="A56" s="37"/>
      <c r="B56" s="37"/>
      <c r="C56" s="147"/>
      <c r="D56" s="37"/>
      <c r="E56" s="37"/>
    </row>
    <row r="58" spans="1:5" x14ac:dyDescent="0.25">
      <c r="A58" s="364" t="s">
        <v>1060</v>
      </c>
      <c r="B58" s="364"/>
      <c r="C58" s="364"/>
      <c r="D58" s="364"/>
      <c r="E58" s="364"/>
    </row>
    <row r="59" spans="1:5" x14ac:dyDescent="0.25">
      <c r="A59" s="364"/>
      <c r="B59" s="364"/>
      <c r="C59" s="364"/>
      <c r="D59" s="364"/>
      <c r="E59" s="364"/>
    </row>
  </sheetData>
  <sheetProtection algorithmName="SHA-512" hashValue="4STJ1aojXzN3LlSdDHQJV4vaZcZSdNo1E6hPaHPKbjy3ZvRyDJP/IoROWJt7IHAtwj8fWgVZswiOl44kl6Phiw==" saltValue="8cHKh66yeknwBSzbm3WMQQ==" spinCount="100000" sheet="1" formatCells="0" formatColumns="0" formatRows="0" insertColumns="0" insertRows="0" insertHyperlinks="0" deleteColumns="0" deleteRows="0" sort="0" autoFilter="0" pivotTables="0"/>
  <mergeCells count="1">
    <mergeCell ref="A58:E59"/>
  </mergeCells>
  <hyperlinks>
    <hyperlink ref="A2" location="Index!B26" display="[Back to Index]" xr:uid="{69441181-60BA-4D43-BB9A-8F0CD7DF7450}"/>
  </hyperlinks>
  <pageMargins left="0.7" right="0.7" top="0.75" bottom="0.75" header="0.3" footer="0.3"/>
  <pageSetup orientation="portrait"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65AA1-4407-49E3-B91E-31EB160AD1AE}">
  <sheetPr codeName="Sheet60">
    <tabColor rgb="FFBFDDAB"/>
  </sheetPr>
  <dimension ref="A1:E61"/>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44140625" style="134" customWidth="1"/>
    <col min="3" max="3" width="27.5546875" style="134" customWidth="1"/>
    <col min="4" max="4" width="95.5546875" style="70" customWidth="1"/>
    <col min="5" max="5" width="40.5546875" style="38" customWidth="1"/>
    <col min="6" max="16384" width="8.77734375" style="18"/>
  </cols>
  <sheetData>
    <row r="1" spans="1:5" s="5" customFormat="1" ht="17.399999999999999" x14ac:dyDescent="0.25">
      <c r="A1" s="112" t="s">
        <v>354</v>
      </c>
      <c r="B1" s="2" t="s">
        <v>73</v>
      </c>
      <c r="C1" s="3">
        <v>183.32640000000001</v>
      </c>
      <c r="D1" s="4" t="s">
        <v>1045</v>
      </c>
    </row>
    <row r="2" spans="1:5" s="5" customFormat="1" x14ac:dyDescent="0.25">
      <c r="A2" s="324" t="s">
        <v>74</v>
      </c>
      <c r="C2" s="3">
        <v>20.89836</v>
      </c>
      <c r="D2" s="4" t="s">
        <v>1046</v>
      </c>
    </row>
    <row r="3" spans="1:5" x14ac:dyDescent="0.25">
      <c r="A3" s="154"/>
      <c r="B3" s="155"/>
      <c r="C3" s="156"/>
    </row>
    <row r="4" spans="1:5" s="10" customFormat="1" x14ac:dyDescent="0.3">
      <c r="A4" s="8" t="s">
        <v>75</v>
      </c>
      <c r="B4" s="157" t="s">
        <v>251</v>
      </c>
      <c r="C4" s="157" t="s">
        <v>77</v>
      </c>
      <c r="D4" s="115" t="s">
        <v>78</v>
      </c>
      <c r="E4" s="116"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45" x14ac:dyDescent="0.25">
      <c r="A7" s="14" t="s">
        <v>84</v>
      </c>
      <c r="B7" s="128"/>
      <c r="C7" s="128"/>
      <c r="D7" s="13"/>
      <c r="E7" s="13"/>
    </row>
    <row r="8" spans="1:5" ht="30" x14ac:dyDescent="0.25">
      <c r="A8" s="11" t="s">
        <v>87</v>
      </c>
      <c r="B8" s="20">
        <f>SUM(B9:B11)</f>
        <v>24006000000</v>
      </c>
      <c r="C8" s="20">
        <f>SUM(C9:C11)</f>
        <v>26555309734.513271</v>
      </c>
      <c r="D8" s="13"/>
      <c r="E8" s="14"/>
    </row>
    <row r="9" spans="1:5" ht="60" x14ac:dyDescent="0.25">
      <c r="A9" s="14" t="s">
        <v>88</v>
      </c>
      <c r="B9" s="19">
        <f>100*10^6</f>
        <v>100000000</v>
      </c>
      <c r="C9" s="23">
        <f>B9/$B$36</f>
        <v>110619469.02654867</v>
      </c>
      <c r="D9" s="13" t="s">
        <v>355</v>
      </c>
      <c r="E9" s="13" t="s">
        <v>298</v>
      </c>
    </row>
    <row r="10" spans="1:5" ht="111.6" customHeight="1" x14ac:dyDescent="0.25">
      <c r="A10" s="14" t="s">
        <v>90</v>
      </c>
      <c r="B10" s="19">
        <f>0.006*10^9</f>
        <v>6000000</v>
      </c>
      <c r="C10" s="23">
        <f>B10/$B$36</f>
        <v>6637168.1415929198</v>
      </c>
      <c r="D10" s="24" t="s">
        <v>356</v>
      </c>
      <c r="E10" s="13" t="s">
        <v>357</v>
      </c>
    </row>
    <row r="11" spans="1:5" ht="167.85" customHeight="1" x14ac:dyDescent="0.25">
      <c r="A11" s="14" t="s">
        <v>92</v>
      </c>
      <c r="B11" s="19">
        <f>(1.5+10+12+0.4)*10^9</f>
        <v>23900000000</v>
      </c>
      <c r="C11" s="23">
        <f>B11/$B$36</f>
        <v>26438053097.345131</v>
      </c>
      <c r="D11" s="13" t="s">
        <v>358</v>
      </c>
      <c r="E11" s="13" t="s">
        <v>359</v>
      </c>
    </row>
    <row r="12" spans="1:5" ht="45" x14ac:dyDescent="0.25">
      <c r="A12" s="11" t="s">
        <v>93</v>
      </c>
      <c r="B12" s="12">
        <f>SUM(B13:B14)</f>
        <v>0</v>
      </c>
      <c r="C12" s="12">
        <f>SUM(C13:C14)</f>
        <v>0</v>
      </c>
      <c r="D12" s="13"/>
      <c r="E12" s="14"/>
    </row>
    <row r="13" spans="1:5" ht="56.55" customHeight="1" x14ac:dyDescent="0.25">
      <c r="A13" s="14" t="s">
        <v>94</v>
      </c>
      <c r="B13" s="23"/>
      <c r="C13" s="23">
        <f>B13/$B$36</f>
        <v>0</v>
      </c>
      <c r="D13" s="13" t="s">
        <v>360</v>
      </c>
      <c r="E13" s="13" t="s">
        <v>298</v>
      </c>
    </row>
    <row r="14" spans="1:5" ht="88.05" customHeight="1" x14ac:dyDescent="0.25">
      <c r="A14" s="14" t="s">
        <v>96</v>
      </c>
      <c r="B14" s="16"/>
      <c r="C14" s="23">
        <f>B14/$B$36</f>
        <v>0</v>
      </c>
      <c r="D14" s="13" t="s">
        <v>361</v>
      </c>
      <c r="E14" s="13" t="s">
        <v>298</v>
      </c>
    </row>
    <row r="15" spans="1:5" ht="45" x14ac:dyDescent="0.25">
      <c r="A15" s="11" t="s">
        <v>97</v>
      </c>
      <c r="B15" s="12"/>
      <c r="C15" s="12"/>
      <c r="D15" s="13"/>
      <c r="E15" s="14"/>
    </row>
    <row r="16" spans="1:5" ht="30" x14ac:dyDescent="0.25">
      <c r="A16" s="11" t="s">
        <v>98</v>
      </c>
      <c r="B16" s="12">
        <f>SUM(B17:B18)</f>
        <v>65140000000</v>
      </c>
      <c r="C16" s="59">
        <f>B16/$B$36</f>
        <v>72057522123.893799</v>
      </c>
      <c r="D16" s="13"/>
      <c r="E16" s="14"/>
    </row>
    <row r="17" spans="1:5" x14ac:dyDescent="0.25">
      <c r="A17" s="13" t="s">
        <v>99</v>
      </c>
      <c r="B17" s="85"/>
      <c r="C17" s="23"/>
      <c r="D17" s="83"/>
      <c r="E17" s="14"/>
    </row>
    <row r="18" spans="1:5" ht="212.7" customHeight="1" x14ac:dyDescent="0.25">
      <c r="A18" s="13" t="s">
        <v>101</v>
      </c>
      <c r="B18" s="23">
        <f>(10+2+0.465+0.175+52.5)*10^9</f>
        <v>65140000000</v>
      </c>
      <c r="C18" s="23">
        <f>B18/$B$36</f>
        <v>72057522123.893799</v>
      </c>
      <c r="D18" s="58" t="s">
        <v>362</v>
      </c>
      <c r="E18" s="13" t="s">
        <v>363</v>
      </c>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x14ac:dyDescent="0.25">
      <c r="A28" s="13" t="s">
        <v>115</v>
      </c>
      <c r="B28" s="16"/>
      <c r="C28" s="16"/>
      <c r="D28" s="13"/>
      <c r="E28" s="13"/>
    </row>
    <row r="29" spans="1:5" x14ac:dyDescent="0.25">
      <c r="A29" s="13" t="s">
        <v>116</v>
      </c>
      <c r="B29" s="19">
        <f>SUM(B30:B31)</f>
        <v>0</v>
      </c>
      <c r="C29" s="19">
        <f>SUM(C30:C31)</f>
        <v>0</v>
      </c>
      <c r="D29" s="13"/>
      <c r="E29" s="14"/>
    </row>
    <row r="30" spans="1:5" x14ac:dyDescent="0.25">
      <c r="A30" s="25" t="s">
        <v>117</v>
      </c>
      <c r="B30" s="119"/>
      <c r="C30" s="119"/>
      <c r="D30" s="27"/>
      <c r="E30" s="28"/>
    </row>
    <row r="31" spans="1:5" x14ac:dyDescent="0.25">
      <c r="A31" s="25" t="s">
        <v>118</v>
      </c>
      <c r="B31" s="119"/>
      <c r="C31" s="119"/>
      <c r="D31" s="25"/>
      <c r="E31" s="29"/>
    </row>
    <row r="32" spans="1:5" x14ac:dyDescent="0.25">
      <c r="A32" s="11" t="s">
        <v>119</v>
      </c>
      <c r="B32" s="30"/>
      <c r="C32" s="12"/>
      <c r="D32" s="83"/>
      <c r="E32" s="14"/>
    </row>
    <row r="33" spans="1:5" x14ac:dyDescent="0.25">
      <c r="A33" s="31"/>
      <c r="B33" s="120"/>
      <c r="C33" s="120"/>
      <c r="D33" s="33"/>
      <c r="E33" s="34"/>
    </row>
    <row r="34" spans="1:5" x14ac:dyDescent="0.25">
      <c r="A34" s="35" t="s">
        <v>120</v>
      </c>
      <c r="B34" s="121">
        <f>SUM(B5,B8,B12,B15,B16)</f>
        <v>89146000000</v>
      </c>
      <c r="C34" s="121">
        <f>SUM(C5,C8,C12,C15,C16)</f>
        <v>98612831858.407074</v>
      </c>
    </row>
    <row r="35" spans="1:5" x14ac:dyDescent="0.25">
      <c r="A35" s="31"/>
      <c r="B35" s="121"/>
      <c r="C35" s="121"/>
    </row>
    <row r="36" spans="1:5" x14ac:dyDescent="0.25">
      <c r="A36" s="31" t="s">
        <v>121</v>
      </c>
      <c r="B36" s="146">
        <v>0.90400000000000003</v>
      </c>
      <c r="C36" s="158"/>
    </row>
    <row r="37" spans="1:5" x14ac:dyDescent="0.25">
      <c r="A37" s="43" t="s">
        <v>122</v>
      </c>
      <c r="B37" s="158">
        <v>803460000000</v>
      </c>
      <c r="C37" s="158">
        <v>902355000000</v>
      </c>
    </row>
    <row r="38" spans="1:5" x14ac:dyDescent="0.25">
      <c r="A38" s="43" t="s">
        <v>123</v>
      </c>
      <c r="B38" s="158">
        <v>17231017</v>
      </c>
      <c r="C38" s="158"/>
    </row>
    <row r="39" spans="1:5" x14ac:dyDescent="0.25">
      <c r="A39" s="43"/>
      <c r="B39" s="159"/>
      <c r="C39" s="159"/>
    </row>
    <row r="40" spans="1:5" x14ac:dyDescent="0.25">
      <c r="A40" s="5"/>
      <c r="B40" s="160" t="s">
        <v>282</v>
      </c>
      <c r="C40" s="160" t="s">
        <v>125</v>
      </c>
    </row>
    <row r="41" spans="1:5" x14ac:dyDescent="0.25">
      <c r="A41" s="43" t="s">
        <v>126</v>
      </c>
      <c r="B41" s="48">
        <f>$B37/$B$38</f>
        <v>46628.704504208894</v>
      </c>
      <c r="C41" s="48">
        <f>$C37/$B$38</f>
        <v>52368.063939580585</v>
      </c>
    </row>
    <row r="42" spans="1:5" x14ac:dyDescent="0.25">
      <c r="A42" s="43" t="s">
        <v>127</v>
      </c>
      <c r="B42" s="49">
        <f>($B34/$B37)*100</f>
        <v>11.095262987578721</v>
      </c>
      <c r="C42" s="49"/>
    </row>
    <row r="43" spans="1:5" x14ac:dyDescent="0.25">
      <c r="A43" s="43" t="s">
        <v>128</v>
      </c>
      <c r="B43" s="50">
        <f>$B34/$B$38</f>
        <v>5173.5773924429413</v>
      </c>
      <c r="C43" s="50">
        <f>$C34/$B$38</f>
        <v>5722.9838411979445</v>
      </c>
    </row>
    <row r="44" spans="1:5" x14ac:dyDescent="0.25">
      <c r="A44" s="43"/>
    </row>
    <row r="45" spans="1:5" x14ac:dyDescent="0.25">
      <c r="A45" s="335" t="s">
        <v>1057</v>
      </c>
    </row>
    <row r="46" spans="1:5" x14ac:dyDescent="0.25">
      <c r="A46" s="43"/>
    </row>
    <row r="47" spans="1:5" x14ac:dyDescent="0.25">
      <c r="A47" s="43"/>
    </row>
    <row r="48" spans="1:5" x14ac:dyDescent="0.25">
      <c r="A48" s="43" t="s">
        <v>129</v>
      </c>
    </row>
    <row r="49" spans="1:5" ht="15.6" customHeight="1" x14ac:dyDescent="0.25">
      <c r="A49" s="133" t="s">
        <v>306</v>
      </c>
      <c r="B49" s="161"/>
      <c r="C49" s="161"/>
      <c r="D49" s="53"/>
      <c r="E49" s="53"/>
    </row>
    <row r="50" spans="1:5" ht="15.6" customHeight="1" x14ac:dyDescent="0.25">
      <c r="A50" s="52"/>
      <c r="B50" s="161"/>
      <c r="C50" s="161"/>
      <c r="D50" s="53"/>
      <c r="E50" s="53"/>
    </row>
    <row r="51" spans="1:5" ht="15.6" customHeight="1" x14ac:dyDescent="0.25">
      <c r="A51" s="53"/>
      <c r="B51" s="161"/>
      <c r="C51" s="161"/>
      <c r="D51" s="53"/>
      <c r="E51" s="53"/>
    </row>
    <row r="52" spans="1:5" x14ac:dyDescent="0.25">
      <c r="A52" s="43" t="s">
        <v>131</v>
      </c>
    </row>
    <row r="53" spans="1:5" s="38" customFormat="1" x14ac:dyDescent="0.25">
      <c r="A53" s="136" t="s">
        <v>364</v>
      </c>
      <c r="B53" s="162"/>
      <c r="C53" s="163"/>
      <c r="D53" s="70"/>
      <c r="E53" s="70"/>
    </row>
    <row r="54" spans="1:5" s="38" customFormat="1" x14ac:dyDescent="0.25">
      <c r="A54" s="136" t="s">
        <v>365</v>
      </c>
      <c r="B54" s="162"/>
      <c r="C54" s="163"/>
      <c r="D54" s="70"/>
      <c r="E54" s="70"/>
    </row>
    <row r="55" spans="1:5" s="38" customFormat="1" x14ac:dyDescent="0.25">
      <c r="A55" s="136" t="s">
        <v>366</v>
      </c>
      <c r="B55" s="162"/>
      <c r="C55" s="163"/>
      <c r="D55" s="70"/>
      <c r="E55" s="70"/>
    </row>
    <row r="56" spans="1:5" s="38" customFormat="1" x14ac:dyDescent="0.3">
      <c r="A56" s="136" t="s">
        <v>367</v>
      </c>
      <c r="B56" s="164"/>
      <c r="C56" s="164"/>
      <c r="D56" s="34"/>
      <c r="E56" s="34"/>
    </row>
    <row r="57" spans="1:5" s="38" customFormat="1" x14ac:dyDescent="0.25">
      <c r="A57" s="37" t="s">
        <v>287</v>
      </c>
      <c r="B57" s="134"/>
      <c r="C57" s="134"/>
      <c r="D57" s="70"/>
    </row>
    <row r="58" spans="1:5" s="38" customFormat="1" x14ac:dyDescent="0.3">
      <c r="B58" s="134"/>
      <c r="C58" s="134"/>
      <c r="D58" s="70"/>
    </row>
    <row r="59" spans="1:5" s="38" customFormat="1" x14ac:dyDescent="0.3">
      <c r="A59" s="5"/>
      <c r="B59" s="134"/>
      <c r="C59" s="134"/>
      <c r="D59" s="70"/>
    </row>
    <row r="60" spans="1:5" s="38" customFormat="1" x14ac:dyDescent="0.3">
      <c r="A60" s="364" t="s">
        <v>1060</v>
      </c>
      <c r="B60" s="364"/>
      <c r="C60" s="364"/>
      <c r="D60" s="364"/>
      <c r="E60" s="364"/>
    </row>
    <row r="61" spans="1:5" x14ac:dyDescent="0.25">
      <c r="A61" s="364"/>
      <c r="B61" s="364"/>
      <c r="C61" s="364"/>
      <c r="D61" s="364"/>
      <c r="E61" s="364"/>
    </row>
  </sheetData>
  <sheetProtection algorithmName="SHA-512" hashValue="FTUSaTNaju8haL8QsRVmiVZTszCYyW9GVo2twVXSCboQywyXJOfcXGEfQ6y6cyBTUjKzMPnO1uGJAHxjWFT1Cw==" saltValue="D6T0au3qk0zy3fILhQ0tPA==" spinCount="100000" sheet="1" formatCells="0" formatColumns="0" formatRows="0" insertColumns="0" insertRows="0" insertHyperlinks="0" deleteColumns="0" deleteRows="0" sort="0" autoFilter="0" pivotTables="0"/>
  <mergeCells count="1">
    <mergeCell ref="A60:E61"/>
  </mergeCells>
  <hyperlinks>
    <hyperlink ref="A2" location="Index!H34" display="[Back to Index]" xr:uid="{3ABE5804-B3D0-42C8-80B4-3508DECB5BD5}"/>
  </hyperlinks>
  <pageMargins left="0.7" right="0.7" top="0.75" bottom="0.75" header="0.3" footer="0.3"/>
  <pageSetup orientation="portrait"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EED5C-3314-4F0B-B382-34EAEAA0A028}">
  <sheetPr codeName="Sheet61">
    <tabColor rgb="FFBFDDAB"/>
  </sheetPr>
  <dimension ref="A1:E6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2" width="27.5546875" style="70" customWidth="1"/>
    <col min="3" max="3" width="27.6640625" style="70" customWidth="1"/>
    <col min="4" max="4" width="95.6640625" style="37" customWidth="1"/>
    <col min="5" max="5" width="40.6640625" style="70" customWidth="1"/>
    <col min="6" max="16384" width="8.77734375" style="37"/>
  </cols>
  <sheetData>
    <row r="1" spans="1:5" s="7" customFormat="1" ht="17.399999999999999" x14ac:dyDescent="0.25">
      <c r="A1" s="112" t="s">
        <v>42</v>
      </c>
      <c r="B1" s="2" t="s">
        <v>73</v>
      </c>
      <c r="C1" s="84">
        <v>131.41810000000001</v>
      </c>
      <c r="D1" s="4" t="s">
        <v>1045</v>
      </c>
    </row>
    <row r="2" spans="1:5" s="7" customFormat="1" x14ac:dyDescent="0.25">
      <c r="A2" s="324" t="s">
        <v>74</v>
      </c>
      <c r="C2" s="84">
        <v>2.7849200000000001</v>
      </c>
      <c r="D2" s="4" t="s">
        <v>1046</v>
      </c>
    </row>
    <row r="3" spans="1:5" x14ac:dyDescent="0.25">
      <c r="A3" s="35"/>
      <c r="B3" s="174"/>
      <c r="C3" s="175"/>
    </row>
    <row r="4" spans="1:5" s="62" customFormat="1" x14ac:dyDescent="0.3">
      <c r="A4" s="9" t="s">
        <v>75</v>
      </c>
      <c r="B4" s="9" t="s">
        <v>437</v>
      </c>
      <c r="C4" s="9" t="s">
        <v>77</v>
      </c>
      <c r="D4" s="9" t="s">
        <v>78</v>
      </c>
      <c r="E4" s="9" t="s">
        <v>79</v>
      </c>
    </row>
    <row r="5" spans="1:5" s="63" customFormat="1" ht="60" x14ac:dyDescent="0.25">
      <c r="A5" s="22" t="s">
        <v>80</v>
      </c>
      <c r="B5" s="12">
        <f>SUM(B6:B7)</f>
        <v>0</v>
      </c>
      <c r="C5" s="12">
        <f>SUM(C6:C7)</f>
        <v>0</v>
      </c>
      <c r="D5" s="13"/>
      <c r="E5" s="13"/>
    </row>
    <row r="6" spans="1:5" s="63" customFormat="1" ht="128.4" customHeight="1" x14ac:dyDescent="0.25">
      <c r="A6" s="13" t="s">
        <v>81</v>
      </c>
      <c r="B6" s="16"/>
      <c r="C6" s="16"/>
      <c r="D6" s="13" t="s">
        <v>438</v>
      </c>
      <c r="E6" s="13" t="s">
        <v>439</v>
      </c>
    </row>
    <row r="7" spans="1:5" s="63" customFormat="1" ht="52.05" customHeight="1" x14ac:dyDescent="0.25">
      <c r="A7" s="13" t="s">
        <v>84</v>
      </c>
      <c r="B7" s="17"/>
      <c r="C7" s="17"/>
      <c r="D7" s="13" t="s">
        <v>440</v>
      </c>
      <c r="E7" s="13" t="s">
        <v>175</v>
      </c>
    </row>
    <row r="8" spans="1:5" ht="30" x14ac:dyDescent="0.25">
      <c r="A8" s="22" t="s">
        <v>87</v>
      </c>
      <c r="B8" s="20">
        <f>SUM(B9:B11)</f>
        <v>50000000000</v>
      </c>
      <c r="C8" s="20">
        <f>SUM(C9:C11)</f>
        <v>4892291749.5947142</v>
      </c>
      <c r="D8" s="13"/>
      <c r="E8" s="13"/>
    </row>
    <row r="9" spans="1:5" ht="60" x14ac:dyDescent="0.25">
      <c r="A9" s="13" t="s">
        <v>166</v>
      </c>
      <c r="B9" s="16"/>
      <c r="C9" s="16"/>
      <c r="D9" s="13"/>
      <c r="E9" s="13"/>
    </row>
    <row r="10" spans="1:5" ht="66" customHeight="1" x14ac:dyDescent="0.25">
      <c r="A10" s="13" t="s">
        <v>90</v>
      </c>
      <c r="B10" s="16"/>
      <c r="C10" s="16"/>
      <c r="D10" s="64" t="s">
        <v>441</v>
      </c>
      <c r="E10" s="13" t="s">
        <v>175</v>
      </c>
    </row>
    <row r="11" spans="1:5" ht="90" customHeight="1" x14ac:dyDescent="0.25">
      <c r="A11" s="13" t="s">
        <v>92</v>
      </c>
      <c r="B11" s="16">
        <f>+(50)*1000000000</f>
        <v>50000000000</v>
      </c>
      <c r="C11" s="16">
        <f>+B11/$B$36</f>
        <v>4892291749.5947142</v>
      </c>
      <c r="D11" s="13" t="s">
        <v>442</v>
      </c>
      <c r="E11" s="13" t="s">
        <v>443</v>
      </c>
    </row>
    <row r="12" spans="1:5" ht="45" x14ac:dyDescent="0.25">
      <c r="A12" s="22" t="s">
        <v>93</v>
      </c>
      <c r="B12" s="12">
        <f>SUM(B13:B14)</f>
        <v>1600000000</v>
      </c>
      <c r="C12" s="20">
        <f>SUM(C13:C14)</f>
        <v>156553335.98703083</v>
      </c>
      <c r="D12" s="13"/>
      <c r="E12" s="13"/>
    </row>
    <row r="13" spans="1:5" ht="127.2" customHeight="1" x14ac:dyDescent="0.25">
      <c r="A13" s="13" t="s">
        <v>171</v>
      </c>
      <c r="B13" s="16">
        <v>1600000000</v>
      </c>
      <c r="C13" s="16">
        <f>+B13/$B$36</f>
        <v>156553335.98703083</v>
      </c>
      <c r="D13" s="67" t="s">
        <v>444</v>
      </c>
      <c r="E13" s="13" t="s">
        <v>445</v>
      </c>
    </row>
    <row r="14" spans="1:5" x14ac:dyDescent="0.25">
      <c r="A14" s="13" t="s">
        <v>96</v>
      </c>
      <c r="B14" s="16"/>
      <c r="C14" s="16"/>
      <c r="D14" s="13"/>
      <c r="E14" s="13"/>
    </row>
    <row r="15" spans="1:5" ht="45" x14ac:dyDescent="0.25">
      <c r="A15" s="22" t="s">
        <v>97</v>
      </c>
      <c r="B15" s="16"/>
      <c r="C15" s="16"/>
      <c r="D15" s="13"/>
      <c r="E15" s="13"/>
    </row>
    <row r="16" spans="1:5" ht="30" x14ac:dyDescent="0.25">
      <c r="A16" s="22" t="s">
        <v>98</v>
      </c>
      <c r="B16" s="12">
        <f>SUM(B17:B18)</f>
        <v>119800000000</v>
      </c>
      <c r="C16" s="12">
        <f>SUM(C17:C18)</f>
        <v>11721931032.028934</v>
      </c>
      <c r="D16" s="13"/>
      <c r="E16" s="13"/>
    </row>
    <row r="17" spans="1:5" ht="75" x14ac:dyDescent="0.25">
      <c r="A17" s="13" t="s">
        <v>99</v>
      </c>
      <c r="B17" s="16">
        <f>1.1*1000000000</f>
        <v>1100000000</v>
      </c>
      <c r="C17" s="16">
        <f>+B17/$B$36</f>
        <v>107630418.49108371</v>
      </c>
      <c r="D17" s="24" t="s">
        <v>446</v>
      </c>
      <c r="E17" s="13" t="s">
        <v>447</v>
      </c>
    </row>
    <row r="18" spans="1:5" ht="111.6" customHeight="1" x14ac:dyDescent="0.25">
      <c r="A18" s="13" t="s">
        <v>101</v>
      </c>
      <c r="B18" s="16">
        <f>(30.7+20.8+5.5+2.7+37+18+4)*10^9</f>
        <v>118700000000</v>
      </c>
      <c r="C18" s="16">
        <f>+B18/$B$36</f>
        <v>11614300613.537851</v>
      </c>
      <c r="D18" s="13" t="s">
        <v>448</v>
      </c>
      <c r="E18" s="13" t="s">
        <v>447</v>
      </c>
    </row>
    <row r="19" spans="1:5" ht="30" x14ac:dyDescent="0.25">
      <c r="A19" s="22" t="s">
        <v>103</v>
      </c>
      <c r="B19" s="16"/>
      <c r="C19" s="16"/>
      <c r="D19" s="13"/>
      <c r="E19" s="66"/>
    </row>
    <row r="20" spans="1:5" x14ac:dyDescent="0.25">
      <c r="A20" s="13" t="s">
        <v>104</v>
      </c>
      <c r="B20" s="16"/>
      <c r="C20" s="16"/>
      <c r="D20" s="13"/>
      <c r="E20" s="66"/>
    </row>
    <row r="21" spans="1:5" ht="30" x14ac:dyDescent="0.25">
      <c r="A21" s="22" t="s">
        <v>105</v>
      </c>
      <c r="B21" s="16">
        <f>SUM(B22,B24)</f>
        <v>0</v>
      </c>
      <c r="C21" s="16">
        <f>SUM(C22,C24)</f>
        <v>0</v>
      </c>
      <c r="D21" s="13"/>
      <c r="E21" s="13"/>
    </row>
    <row r="22" spans="1:5" x14ac:dyDescent="0.25">
      <c r="A22" s="22" t="s">
        <v>108</v>
      </c>
      <c r="B22" s="16"/>
      <c r="C22" s="16"/>
      <c r="D22" s="13"/>
      <c r="E22" s="13"/>
    </row>
    <row r="23" spans="1:5" x14ac:dyDescent="0.25">
      <c r="A23" s="13" t="s">
        <v>109</v>
      </c>
      <c r="B23" s="16"/>
      <c r="C23" s="16"/>
      <c r="D23" s="13"/>
      <c r="E23" s="13"/>
    </row>
    <row r="24" spans="1:5" x14ac:dyDescent="0.25">
      <c r="A24" s="22" t="s">
        <v>110</v>
      </c>
      <c r="B24" s="67"/>
      <c r="C24" s="67"/>
      <c r="D24" s="24"/>
      <c r="E24" s="13"/>
    </row>
    <row r="25" spans="1:5" x14ac:dyDescent="0.25">
      <c r="A25" s="13" t="s">
        <v>109</v>
      </c>
      <c r="B25" s="16"/>
      <c r="C25" s="67"/>
      <c r="D25" s="13"/>
      <c r="E25" s="13"/>
    </row>
    <row r="26" spans="1:5" x14ac:dyDescent="0.25">
      <c r="A26" s="22" t="s">
        <v>111</v>
      </c>
      <c r="B26" s="12">
        <f>SUM(B27:B29)</f>
        <v>16096750568.181831</v>
      </c>
      <c r="C26" s="12">
        <f>SUM(C27:C29)</f>
        <v>1575000000</v>
      </c>
      <c r="D26" s="13"/>
      <c r="E26" s="13"/>
    </row>
    <row r="27" spans="1:5" ht="110.55" customHeight="1" x14ac:dyDescent="0.25">
      <c r="A27" s="13" t="s">
        <v>112</v>
      </c>
      <c r="B27" s="19">
        <f>+C27*B36</f>
        <v>16096750568.181831</v>
      </c>
      <c r="C27" s="19">
        <f>1.575*10^9</f>
        <v>1575000000</v>
      </c>
      <c r="D27" s="13" t="s">
        <v>449</v>
      </c>
      <c r="E27" s="13" t="s">
        <v>450</v>
      </c>
    </row>
    <row r="28" spans="1:5" ht="54.45" customHeight="1" x14ac:dyDescent="0.25">
      <c r="A28" s="13" t="s">
        <v>115</v>
      </c>
      <c r="B28" s="16"/>
      <c r="C28" s="16"/>
      <c r="D28" s="13" t="s">
        <v>451</v>
      </c>
      <c r="E28" s="13" t="s">
        <v>83</v>
      </c>
    </row>
    <row r="29" spans="1:5" x14ac:dyDescent="0.25">
      <c r="A29" s="13" t="s">
        <v>116</v>
      </c>
      <c r="B29" s="16">
        <f>SUM(B30:B31)</f>
        <v>0</v>
      </c>
      <c r="C29" s="16">
        <f>SUM(C30:C31)</f>
        <v>0</v>
      </c>
      <c r="D29" s="13"/>
      <c r="E29" s="13"/>
    </row>
    <row r="30" spans="1:5" x14ac:dyDescent="0.25">
      <c r="A30" s="25" t="s">
        <v>117</v>
      </c>
      <c r="B30" s="26"/>
      <c r="C30" s="26"/>
      <c r="D30" s="28"/>
      <c r="E30" s="28"/>
    </row>
    <row r="31" spans="1:5" x14ac:dyDescent="0.25">
      <c r="A31" s="25" t="s">
        <v>118</v>
      </c>
      <c r="B31" s="26"/>
      <c r="C31" s="26"/>
      <c r="D31" s="25"/>
      <c r="E31" s="25"/>
    </row>
    <row r="32" spans="1:5" x14ac:dyDescent="0.25">
      <c r="A32" s="22" t="s">
        <v>119</v>
      </c>
      <c r="B32" s="180"/>
      <c r="C32" s="181"/>
      <c r="D32" s="13"/>
      <c r="E32" s="13"/>
    </row>
    <row r="33" spans="1:5" x14ac:dyDescent="0.25">
      <c r="A33" s="35"/>
      <c r="B33" s="176"/>
      <c r="C33" s="176"/>
      <c r="D33" s="33"/>
      <c r="E33" s="33"/>
    </row>
    <row r="34" spans="1:5" x14ac:dyDescent="0.25">
      <c r="A34" s="35" t="s">
        <v>120</v>
      </c>
      <c r="B34" s="71">
        <f>SUM(B5,B8,B12,B15,B16,B32)</f>
        <v>171400000000</v>
      </c>
      <c r="C34" s="71">
        <f>SUM(C5,C8,C12,C15,C16,C32)</f>
        <v>16770776117.61068</v>
      </c>
    </row>
    <row r="35" spans="1:5" x14ac:dyDescent="0.25">
      <c r="A35" s="35"/>
      <c r="B35" s="71"/>
      <c r="C35" s="72"/>
    </row>
    <row r="36" spans="1:5" x14ac:dyDescent="0.25">
      <c r="A36" s="35" t="s">
        <v>121</v>
      </c>
      <c r="B36" s="177">
        <v>10.2201590909091</v>
      </c>
      <c r="C36" s="74"/>
    </row>
    <row r="37" spans="1:5" x14ac:dyDescent="0.25">
      <c r="A37" s="75" t="s">
        <v>122</v>
      </c>
      <c r="B37" s="179">
        <v>3656570000000</v>
      </c>
      <c r="C37" s="179">
        <v>417627000000</v>
      </c>
    </row>
    <row r="38" spans="1:5" x14ac:dyDescent="0.25">
      <c r="A38" s="75" t="s">
        <v>123</v>
      </c>
      <c r="B38" s="179">
        <v>5314336</v>
      </c>
      <c r="C38" s="77"/>
    </row>
    <row r="39" spans="1:5" x14ac:dyDescent="0.25">
      <c r="A39" s="75"/>
      <c r="B39" s="76"/>
      <c r="C39" s="76"/>
    </row>
    <row r="40" spans="1:5" x14ac:dyDescent="0.25">
      <c r="A40" s="7"/>
      <c r="B40" s="46" t="s">
        <v>452</v>
      </c>
      <c r="C40" s="47" t="s">
        <v>125</v>
      </c>
    </row>
    <row r="41" spans="1:5" x14ac:dyDescent="0.25">
      <c r="A41" s="75" t="s">
        <v>126</v>
      </c>
      <c r="B41" s="48">
        <f>$B37/$B38</f>
        <v>688057.73665797571</v>
      </c>
      <c r="C41" s="48">
        <f>$C37/$B38</f>
        <v>78584.982206619985</v>
      </c>
    </row>
    <row r="42" spans="1:5" x14ac:dyDescent="0.25">
      <c r="A42" s="75" t="s">
        <v>127</v>
      </c>
      <c r="B42" s="49">
        <f>($B34/$B37)*100</f>
        <v>4.6874529955668836</v>
      </c>
      <c r="C42" s="49"/>
    </row>
    <row r="43" spans="1:5" x14ac:dyDescent="0.25">
      <c r="A43" s="75" t="s">
        <v>128</v>
      </c>
      <c r="B43" s="78">
        <f>B34/B38</f>
        <v>32252.382988203983</v>
      </c>
      <c r="C43" s="78">
        <f>C34/B38</f>
        <v>3155.7613439591851</v>
      </c>
    </row>
    <row r="44" spans="1:5" x14ac:dyDescent="0.25">
      <c r="A44" s="75"/>
      <c r="B44" s="78"/>
      <c r="C44" s="78"/>
    </row>
    <row r="45" spans="1:5" x14ac:dyDescent="0.25">
      <c r="A45" s="335" t="s">
        <v>1057</v>
      </c>
      <c r="B45" s="78"/>
      <c r="C45" s="78"/>
    </row>
    <row r="46" spans="1:5" x14ac:dyDescent="0.25">
      <c r="A46" s="75"/>
      <c r="B46" s="78"/>
      <c r="C46" s="78"/>
    </row>
    <row r="47" spans="1:5" x14ac:dyDescent="0.25">
      <c r="A47" s="75"/>
      <c r="B47" s="79"/>
    </row>
    <row r="48" spans="1:5" x14ac:dyDescent="0.25">
      <c r="A48" s="75" t="s">
        <v>129</v>
      </c>
    </row>
    <row r="49" spans="1:5" x14ac:dyDescent="0.25">
      <c r="A49" s="7" t="s">
        <v>453</v>
      </c>
    </row>
    <row r="50" spans="1:5" ht="15.45" customHeight="1" x14ac:dyDescent="0.25">
      <c r="A50" s="52" t="s">
        <v>454</v>
      </c>
      <c r="B50" s="53"/>
      <c r="C50" s="53"/>
      <c r="D50" s="53"/>
      <c r="E50" s="53"/>
    </row>
    <row r="51" spans="1:5" ht="15.45" customHeight="1" x14ac:dyDescent="0.25">
      <c r="A51" s="52" t="s">
        <v>455</v>
      </c>
      <c r="B51" s="53"/>
      <c r="C51" s="53"/>
      <c r="D51" s="53"/>
      <c r="E51" s="53"/>
    </row>
    <row r="52" spans="1:5" ht="15.45" customHeight="1" x14ac:dyDescent="0.25">
      <c r="A52" s="7" t="s">
        <v>456</v>
      </c>
      <c r="B52" s="53"/>
      <c r="C52" s="53"/>
      <c r="D52" s="53"/>
      <c r="E52" s="53"/>
    </row>
    <row r="54" spans="1:5" x14ac:dyDescent="0.25">
      <c r="A54" s="75" t="s">
        <v>131</v>
      </c>
    </row>
    <row r="55" spans="1:5" s="70" customFormat="1" x14ac:dyDescent="0.25">
      <c r="A55" s="54" t="s">
        <v>457</v>
      </c>
      <c r="B55" s="37"/>
      <c r="C55" s="147"/>
      <c r="D55" s="37"/>
      <c r="E55" s="37"/>
    </row>
    <row r="56" spans="1:5" s="70" customFormat="1" x14ac:dyDescent="0.25">
      <c r="A56" s="54" t="s">
        <v>458</v>
      </c>
      <c r="B56" s="37"/>
      <c r="C56" s="147"/>
      <c r="D56" s="37"/>
      <c r="E56" s="37"/>
    </row>
    <row r="57" spans="1:5" s="70" customFormat="1" x14ac:dyDescent="0.25">
      <c r="A57" s="54" t="s">
        <v>459</v>
      </c>
      <c r="B57" s="37"/>
      <c r="C57" s="147"/>
      <c r="D57" s="37"/>
      <c r="E57" s="37"/>
    </row>
    <row r="58" spans="1:5" s="70" customFormat="1" x14ac:dyDescent="0.25">
      <c r="A58" s="54" t="s">
        <v>460</v>
      </c>
      <c r="B58" s="37"/>
      <c r="C58" s="147"/>
      <c r="D58" s="37"/>
      <c r="E58" s="37"/>
    </row>
    <row r="59" spans="1:5" s="70" customFormat="1" x14ac:dyDescent="0.25">
      <c r="A59" s="37" t="s">
        <v>461</v>
      </c>
      <c r="B59" s="33"/>
      <c r="C59" s="33"/>
      <c r="D59" s="33"/>
      <c r="E59" s="33"/>
    </row>
    <row r="60" spans="1:5" s="70" customFormat="1" x14ac:dyDescent="0.25">
      <c r="A60" s="7"/>
      <c r="D60" s="37"/>
    </row>
    <row r="61" spans="1:5" s="70" customFormat="1" x14ac:dyDescent="0.25">
      <c r="D61" s="37"/>
    </row>
    <row r="62" spans="1:5" s="18" customFormat="1" x14ac:dyDescent="0.25">
      <c r="A62" s="364" t="s">
        <v>1060</v>
      </c>
      <c r="B62" s="364"/>
      <c r="C62" s="364"/>
      <c r="D62" s="364"/>
      <c r="E62" s="364"/>
    </row>
    <row r="63" spans="1:5" x14ac:dyDescent="0.25">
      <c r="A63" s="364"/>
      <c r="B63" s="364"/>
      <c r="C63" s="364"/>
      <c r="D63" s="364"/>
      <c r="E63" s="364"/>
    </row>
  </sheetData>
  <sheetProtection algorithmName="SHA-512" hashValue="g2BdeZ1v/zJSV/pIDgKXZwrwASAu18IScZYWc42Hl+wp9aQ4E6EkOYZFXlWBqsjhSO+LeGIyGzPAh/jIr/QiZw==" saltValue="dFWgq0RRKIOPoTejGDDHlA==" spinCount="100000" sheet="1" formatCells="0" formatColumns="0" formatRows="0" insertColumns="0" insertRows="0" insertHyperlinks="0" deleteColumns="0" deleteRows="0" sort="0" autoFilter="0" pivotTables="0"/>
  <mergeCells count="1">
    <mergeCell ref="A62:E63"/>
  </mergeCells>
  <hyperlinks>
    <hyperlink ref="A2" location="Index!H36" display="[Back to Index]" xr:uid="{F60E4C54-4C19-4D54-9389-355550103C2A}"/>
  </hyperlinks>
  <pageMargins left="0.7" right="0.7" top="0.75" bottom="0.75" header="0.3" footer="0.3"/>
  <pageSetup orientation="portrait"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AB1C-E059-4F45-A5F4-27A33E536A7E}">
  <sheetPr codeName="Sheet62">
    <tabColor rgb="FFBFDDAB"/>
  </sheetPr>
  <dimension ref="A1:E59"/>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3" width="27.5546875" style="70" customWidth="1"/>
    <col min="4" max="4" width="95.5546875" style="37" customWidth="1"/>
    <col min="5" max="5" width="40.5546875" style="70" customWidth="1"/>
    <col min="6" max="16384" width="8.77734375" style="37"/>
  </cols>
  <sheetData>
    <row r="1" spans="1:5" s="7" customFormat="1" ht="17.399999999999999" x14ac:dyDescent="0.25">
      <c r="A1" s="112" t="s">
        <v>39</v>
      </c>
      <c r="B1" s="2" t="s">
        <v>73</v>
      </c>
      <c r="C1" s="3">
        <v>22.47467</v>
      </c>
      <c r="D1" s="4" t="s">
        <v>1045</v>
      </c>
    </row>
    <row r="2" spans="1:5" s="7" customFormat="1" x14ac:dyDescent="0.25">
      <c r="A2" s="324" t="s">
        <v>74</v>
      </c>
      <c r="C2" s="3">
        <v>0.2456248</v>
      </c>
      <c r="D2" s="4" t="s">
        <v>1046</v>
      </c>
    </row>
    <row r="3" spans="1:5" s="7" customFormat="1" x14ac:dyDescent="0.25">
      <c r="A3" s="61"/>
    </row>
    <row r="4" spans="1:5" s="62" customFormat="1" x14ac:dyDescent="0.3">
      <c r="A4" s="9" t="s">
        <v>75</v>
      </c>
      <c r="B4" s="9" t="s">
        <v>163</v>
      </c>
      <c r="C4" s="9" t="s">
        <v>77</v>
      </c>
      <c r="D4" s="9" t="s">
        <v>78</v>
      </c>
      <c r="E4" s="9" t="s">
        <v>79</v>
      </c>
    </row>
    <row r="5" spans="1:5" s="63" customFormat="1" ht="60" x14ac:dyDescent="0.25">
      <c r="A5" s="22" t="s">
        <v>80</v>
      </c>
      <c r="B5" s="12">
        <f>SUM(B6:B7)</f>
        <v>0</v>
      </c>
      <c r="C5" s="12">
        <f>SUM(C6:C7)</f>
        <v>0</v>
      </c>
      <c r="D5" s="13"/>
      <c r="E5" s="13"/>
    </row>
    <row r="6" spans="1:5" s="63" customFormat="1" ht="75" x14ac:dyDescent="0.25">
      <c r="A6" s="13" t="s">
        <v>81</v>
      </c>
      <c r="B6" s="16"/>
      <c r="C6" s="16"/>
      <c r="D6" s="13" t="s">
        <v>164</v>
      </c>
      <c r="E6" s="13" t="s">
        <v>165</v>
      </c>
    </row>
    <row r="7" spans="1:5" s="63" customFormat="1" ht="45" x14ac:dyDescent="0.25">
      <c r="A7" s="13" t="s">
        <v>84</v>
      </c>
      <c r="B7" s="17"/>
      <c r="C7" s="17"/>
      <c r="D7" s="13"/>
      <c r="E7" s="13"/>
    </row>
    <row r="8" spans="1:5" ht="30" x14ac:dyDescent="0.25">
      <c r="A8" s="22" t="s">
        <v>87</v>
      </c>
      <c r="B8" s="12">
        <f>SUM(B9:B11)</f>
        <v>39250000000</v>
      </c>
      <c r="C8" s="12">
        <f>SUM(C9:C11)</f>
        <v>23738962138.623444</v>
      </c>
      <c r="D8" s="13"/>
      <c r="E8" s="13"/>
    </row>
    <row r="9" spans="1:5" ht="135" x14ac:dyDescent="0.25">
      <c r="A9" s="13" t="s">
        <v>166</v>
      </c>
      <c r="B9" s="16">
        <f>(30+3)*10^9</f>
        <v>33000000000</v>
      </c>
      <c r="C9" s="16">
        <f>B9/$B$36</f>
        <v>19958872626.103786</v>
      </c>
      <c r="D9" s="13" t="s">
        <v>167</v>
      </c>
      <c r="E9" s="13" t="s">
        <v>168</v>
      </c>
    </row>
    <row r="10" spans="1:5" ht="90" x14ac:dyDescent="0.25">
      <c r="A10" s="13" t="s">
        <v>90</v>
      </c>
      <c r="B10" s="16"/>
      <c r="C10" s="16"/>
      <c r="D10" s="13" t="s">
        <v>169</v>
      </c>
      <c r="E10" s="13" t="s">
        <v>165</v>
      </c>
    </row>
    <row r="11" spans="1:5" ht="60" x14ac:dyDescent="0.25">
      <c r="A11" s="13" t="s">
        <v>92</v>
      </c>
      <c r="B11" s="19">
        <f>(6.25)*10^9</f>
        <v>6250000000</v>
      </c>
      <c r="C11" s="19">
        <f>B11/$B$36</f>
        <v>3780089512.5196567</v>
      </c>
      <c r="D11" s="13" t="s">
        <v>170</v>
      </c>
      <c r="E11" s="13" t="s">
        <v>165</v>
      </c>
    </row>
    <row r="12" spans="1:5" ht="45" x14ac:dyDescent="0.25">
      <c r="A12" s="22" t="s">
        <v>93</v>
      </c>
      <c r="B12" s="12">
        <f>SUM(B13:B14)</f>
        <v>900000000</v>
      </c>
      <c r="C12" s="12">
        <f>SUM(C13:C14)</f>
        <v>544332889.80283058</v>
      </c>
      <c r="D12" s="13"/>
      <c r="E12" s="13"/>
    </row>
    <row r="13" spans="1:5" ht="45" x14ac:dyDescent="0.25">
      <c r="A13" s="13" t="s">
        <v>171</v>
      </c>
      <c r="B13" s="16">
        <f>(0.9)*10^9</f>
        <v>900000000</v>
      </c>
      <c r="C13" s="16">
        <f>B13/$B$36</f>
        <v>544332889.80283058</v>
      </c>
      <c r="D13" s="13" t="s">
        <v>172</v>
      </c>
      <c r="E13" s="13"/>
    </row>
    <row r="14" spans="1:5" ht="75" x14ac:dyDescent="0.25">
      <c r="A14" s="13" t="s">
        <v>96</v>
      </c>
      <c r="B14" s="16"/>
      <c r="C14" s="16"/>
      <c r="D14" s="13" t="s">
        <v>173</v>
      </c>
      <c r="E14" s="13"/>
    </row>
    <row r="15" spans="1:5" ht="45" x14ac:dyDescent="0.25">
      <c r="A15" s="22" t="s">
        <v>97</v>
      </c>
      <c r="B15" s="12"/>
      <c r="C15" s="12"/>
      <c r="D15" s="13"/>
      <c r="E15" s="13"/>
    </row>
    <row r="16" spans="1:5" ht="30" x14ac:dyDescent="0.25">
      <c r="A16" s="22" t="s">
        <v>98</v>
      </c>
      <c r="B16" s="12">
        <f>SUM(B17:B18)</f>
        <v>22400000000.000004</v>
      </c>
      <c r="C16" s="12">
        <f>SUM(C17:C18)</f>
        <v>13547840812.870451</v>
      </c>
      <c r="D16" s="13"/>
      <c r="E16" s="13"/>
    </row>
    <row r="17" spans="1:5" ht="60" x14ac:dyDescent="0.25">
      <c r="A17" s="13" t="s">
        <v>99</v>
      </c>
      <c r="B17" s="16">
        <f>(0.5)*10^9</f>
        <v>500000000</v>
      </c>
      <c r="C17" s="16">
        <f>B17/$B$36</f>
        <v>302407161.00157255</v>
      </c>
      <c r="D17" s="64" t="s">
        <v>174</v>
      </c>
      <c r="E17" s="13" t="s">
        <v>175</v>
      </c>
    </row>
    <row r="18" spans="1:5" ht="120" x14ac:dyDescent="0.25">
      <c r="A18" s="13" t="s">
        <v>101</v>
      </c>
      <c r="B18" s="16">
        <f>(2.4+13+3.1+2.8+0.6)*10^9</f>
        <v>21900000000.000004</v>
      </c>
      <c r="C18" s="16">
        <f>B18/$B$36</f>
        <v>13245433651.868879</v>
      </c>
      <c r="D18" s="65" t="s">
        <v>176</v>
      </c>
      <c r="E18" s="13" t="s">
        <v>175</v>
      </c>
    </row>
    <row r="19" spans="1:5" ht="30" x14ac:dyDescent="0.25">
      <c r="A19" s="22" t="s">
        <v>103</v>
      </c>
      <c r="B19" s="20"/>
      <c r="C19" s="20"/>
      <c r="D19" s="13"/>
      <c r="E19" s="66"/>
    </row>
    <row r="20" spans="1:5" x14ac:dyDescent="0.25">
      <c r="A20" s="13" t="s">
        <v>104</v>
      </c>
      <c r="B20" s="19"/>
      <c r="C20" s="19"/>
      <c r="D20" s="13"/>
      <c r="E20" s="66"/>
    </row>
    <row r="21" spans="1:5" ht="30" x14ac:dyDescent="0.25">
      <c r="A21" s="22" t="s">
        <v>105</v>
      </c>
      <c r="B21" s="12">
        <f>SUM(B22,B24)</f>
        <v>0</v>
      </c>
      <c r="C21" s="12">
        <f>SUM(C22,C24)</f>
        <v>0</v>
      </c>
      <c r="D21" s="13"/>
      <c r="E21" s="13"/>
    </row>
    <row r="22" spans="1:5" x14ac:dyDescent="0.25">
      <c r="A22" s="22" t="s">
        <v>108</v>
      </c>
      <c r="B22" s="16"/>
      <c r="C22" s="16"/>
      <c r="D22" s="13"/>
      <c r="E22" s="13"/>
    </row>
    <row r="23" spans="1:5" x14ac:dyDescent="0.25">
      <c r="A23" s="13" t="s">
        <v>109</v>
      </c>
      <c r="B23" s="16"/>
      <c r="C23" s="16"/>
      <c r="D23" s="13"/>
      <c r="E23" s="13"/>
    </row>
    <row r="24" spans="1:5" x14ac:dyDescent="0.25">
      <c r="A24" s="22" t="s">
        <v>110</v>
      </c>
      <c r="B24" s="67"/>
      <c r="C24" s="67"/>
      <c r="D24" s="24"/>
      <c r="E24" s="13"/>
    </row>
    <row r="25" spans="1:5" x14ac:dyDescent="0.25">
      <c r="A25" s="13" t="s">
        <v>109</v>
      </c>
      <c r="B25" s="16"/>
      <c r="C25" s="67"/>
      <c r="D25" s="13"/>
      <c r="E25" s="13"/>
    </row>
    <row r="26" spans="1:5" x14ac:dyDescent="0.25">
      <c r="A26" s="22" t="s">
        <v>111</v>
      </c>
      <c r="B26" s="12">
        <f>SUM(B27:B29)</f>
        <v>0</v>
      </c>
      <c r="C26" s="12">
        <f>SUM(C27:C29)</f>
        <v>0</v>
      </c>
      <c r="D26" s="13"/>
      <c r="E26" s="13"/>
    </row>
    <row r="27" spans="1:5" ht="60" x14ac:dyDescent="0.25">
      <c r="A27" s="13" t="s">
        <v>112</v>
      </c>
      <c r="B27" s="16"/>
      <c r="C27" s="16"/>
      <c r="D27" s="13" t="s">
        <v>177</v>
      </c>
      <c r="E27" s="13" t="s">
        <v>165</v>
      </c>
    </row>
    <row r="28" spans="1:5" ht="60" x14ac:dyDescent="0.25">
      <c r="A28" s="13" t="s">
        <v>115</v>
      </c>
      <c r="B28" s="16"/>
      <c r="C28" s="16"/>
      <c r="D28" s="13" t="s">
        <v>178</v>
      </c>
      <c r="E28" s="13" t="s">
        <v>165</v>
      </c>
    </row>
    <row r="29" spans="1:5" x14ac:dyDescent="0.25">
      <c r="A29" s="13" t="s">
        <v>116</v>
      </c>
      <c r="B29" s="19">
        <f>SUM(B30:B31)</f>
        <v>0</v>
      </c>
      <c r="C29" s="19">
        <f>SUM(C30:C31)</f>
        <v>0</v>
      </c>
      <c r="D29" s="13"/>
      <c r="E29" s="13"/>
    </row>
    <row r="30" spans="1:5" x14ac:dyDescent="0.25">
      <c r="A30" s="25" t="s">
        <v>117</v>
      </c>
      <c r="B30" s="26"/>
      <c r="C30" s="26"/>
      <c r="D30" s="28"/>
      <c r="E30" s="28"/>
    </row>
    <row r="31" spans="1:5" x14ac:dyDescent="0.25">
      <c r="A31" s="25" t="s">
        <v>118</v>
      </c>
      <c r="B31" s="26"/>
      <c r="C31" s="26"/>
      <c r="D31" s="25"/>
      <c r="E31" s="25"/>
    </row>
    <row r="32" spans="1:5" x14ac:dyDescent="0.25">
      <c r="A32" s="22" t="s">
        <v>119</v>
      </c>
      <c r="B32" s="68"/>
      <c r="C32" s="12"/>
      <c r="D32" s="13"/>
      <c r="E32" s="13"/>
    </row>
    <row r="33" spans="1:5" x14ac:dyDescent="0.25">
      <c r="A33" s="35"/>
      <c r="B33" s="69"/>
      <c r="C33" s="69"/>
      <c r="D33" s="33"/>
      <c r="E33" s="33"/>
    </row>
    <row r="34" spans="1:5" x14ac:dyDescent="0.25">
      <c r="A34" s="35" t="s">
        <v>120</v>
      </c>
      <c r="B34" s="36">
        <f>SUM(B5,B8,B12,B15,B16)</f>
        <v>62550000000</v>
      </c>
      <c r="C34" s="36">
        <f>SUM(C5,C8,C12,C15,C16)</f>
        <v>37831135841.296722</v>
      </c>
    </row>
    <row r="35" spans="1:5" x14ac:dyDescent="0.25">
      <c r="A35" s="35"/>
      <c r="B35" s="71"/>
      <c r="C35" s="72"/>
    </row>
    <row r="36" spans="1:5" x14ac:dyDescent="0.25">
      <c r="A36" s="35" t="s">
        <v>121</v>
      </c>
      <c r="B36" s="73">
        <v>1.6534</v>
      </c>
      <c r="C36" s="74"/>
    </row>
    <row r="37" spans="1:5" x14ac:dyDescent="0.25">
      <c r="A37" s="75" t="s">
        <v>122</v>
      </c>
      <c r="B37" s="76">
        <v>304852000000</v>
      </c>
      <c r="C37" s="76">
        <v>204671000000</v>
      </c>
    </row>
    <row r="38" spans="1:5" x14ac:dyDescent="0.25">
      <c r="A38" s="75" t="s">
        <v>123</v>
      </c>
      <c r="B38" s="77">
        <v>4885500</v>
      </c>
      <c r="C38" s="77"/>
    </row>
    <row r="39" spans="1:5" x14ac:dyDescent="0.25">
      <c r="A39" s="75"/>
      <c r="B39" s="76"/>
      <c r="C39" s="76"/>
    </row>
    <row r="40" spans="1:5" x14ac:dyDescent="0.25">
      <c r="A40" s="7"/>
      <c r="B40" s="46" t="s">
        <v>179</v>
      </c>
      <c r="C40" s="47" t="s">
        <v>125</v>
      </c>
    </row>
    <row r="41" spans="1:5" x14ac:dyDescent="0.25">
      <c r="A41" s="75" t="s">
        <v>126</v>
      </c>
      <c r="B41" s="48">
        <f>$B37/$B$38</f>
        <v>62399.345000511719</v>
      </c>
      <c r="C41" s="48">
        <f>$C37/$B$38</f>
        <v>41893.562583154235</v>
      </c>
    </row>
    <row r="42" spans="1:5" x14ac:dyDescent="0.25">
      <c r="A42" s="75" t="s">
        <v>127</v>
      </c>
      <c r="B42" s="49">
        <f>($B34/$B37)*100</f>
        <v>20.518153070998384</v>
      </c>
      <c r="C42" s="49"/>
    </row>
    <row r="43" spans="1:5" x14ac:dyDescent="0.25">
      <c r="A43" s="75" t="s">
        <v>128</v>
      </c>
      <c r="B43" s="78">
        <f>$B34/$B$38</f>
        <v>12803.193122505372</v>
      </c>
      <c r="C43" s="78">
        <f>$C34/$B$38</f>
        <v>7743.5545678634171</v>
      </c>
    </row>
    <row r="44" spans="1:5" x14ac:dyDescent="0.25">
      <c r="A44" s="75"/>
      <c r="B44" s="78"/>
      <c r="C44" s="78"/>
    </row>
    <row r="45" spans="1:5" x14ac:dyDescent="0.25">
      <c r="A45" s="335" t="s">
        <v>1057</v>
      </c>
      <c r="B45" s="78"/>
      <c r="C45" s="78"/>
    </row>
    <row r="46" spans="1:5" x14ac:dyDescent="0.25">
      <c r="A46" s="75"/>
      <c r="B46" s="78"/>
      <c r="C46" s="78"/>
    </row>
    <row r="47" spans="1:5" x14ac:dyDescent="0.25">
      <c r="A47" s="75"/>
      <c r="B47" s="79"/>
    </row>
    <row r="48" spans="1:5" x14ac:dyDescent="0.25">
      <c r="A48" s="75" t="s">
        <v>129</v>
      </c>
    </row>
    <row r="49" spans="1:5" ht="15.6" customHeight="1" x14ac:dyDescent="0.25">
      <c r="A49" s="52" t="s">
        <v>180</v>
      </c>
      <c r="B49" s="53"/>
      <c r="C49" s="53"/>
      <c r="D49" s="53"/>
      <c r="E49" s="53"/>
    </row>
    <row r="50" spans="1:5" ht="15.6" customHeight="1" x14ac:dyDescent="0.25">
      <c r="A50" s="7" t="s">
        <v>165</v>
      </c>
      <c r="B50" s="53"/>
      <c r="C50" s="53"/>
      <c r="D50" s="53"/>
      <c r="E50" s="53"/>
    </row>
    <row r="52" spans="1:5" x14ac:dyDescent="0.25">
      <c r="A52" s="75" t="s">
        <v>131</v>
      </c>
    </row>
    <row r="53" spans="1:5" s="70" customFormat="1" x14ac:dyDescent="0.3">
      <c r="A53" s="54" t="s">
        <v>181</v>
      </c>
      <c r="B53" s="55"/>
      <c r="C53" s="55"/>
      <c r="D53" s="55"/>
      <c r="E53" s="55"/>
    </row>
    <row r="54" spans="1:5" s="70" customFormat="1" x14ac:dyDescent="0.25">
      <c r="A54" s="37" t="s">
        <v>182</v>
      </c>
      <c r="B54" s="55"/>
      <c r="C54" s="55"/>
      <c r="D54" s="55"/>
      <c r="E54" s="55"/>
    </row>
    <row r="55" spans="1:5" s="70" customFormat="1" x14ac:dyDescent="0.3">
      <c r="A55" s="7" t="s">
        <v>136</v>
      </c>
      <c r="B55" s="33"/>
      <c r="C55" s="33"/>
      <c r="D55" s="33"/>
      <c r="E55" s="33"/>
    </row>
    <row r="56" spans="1:5" s="70" customFormat="1" x14ac:dyDescent="0.25">
      <c r="A56" s="7"/>
      <c r="D56" s="37"/>
    </row>
    <row r="57" spans="1:5" s="70" customFormat="1" x14ac:dyDescent="0.25">
      <c r="D57" s="37"/>
    </row>
    <row r="58" spans="1:5" x14ac:dyDescent="0.25">
      <c r="A58" s="364" t="s">
        <v>1060</v>
      </c>
      <c r="B58" s="364"/>
      <c r="C58" s="364"/>
      <c r="D58" s="364"/>
      <c r="E58" s="364"/>
    </row>
    <row r="59" spans="1:5" x14ac:dyDescent="0.25">
      <c r="A59" s="364"/>
      <c r="B59" s="364"/>
      <c r="C59" s="364"/>
      <c r="D59" s="364"/>
      <c r="E59" s="364"/>
    </row>
  </sheetData>
  <sheetProtection algorithmName="SHA-512" hashValue="DWxjqs4V4dFn99DFT3MIkN8nH9ua6giimgmuC20P2r85yLFfQg03uqIZGecOVf74Ax8dJnD2S9gUe1gi6LI44Q==" saltValue="FbKu+JmSy11Hd/RxueePYw==" spinCount="100000" sheet="1" formatCells="0" formatColumns="0" formatRows="0" insertColumns="0" insertRows="0" insertHyperlinks="0" deleteColumns="0" deleteRows="0" sort="0" autoFilter="0" pivotTables="0"/>
  <mergeCells count="1">
    <mergeCell ref="A58:E59"/>
  </mergeCells>
  <hyperlinks>
    <hyperlink ref="A2" location="Index!H35" display="[Back to Index]" xr:uid="{55CB74B0-8F24-4284-96E1-90E88CF1FE5D}"/>
  </hyperlinks>
  <pageMargins left="0.7" right="0.7" top="0.75" bottom="0.75" header="0.3" footer="0.3"/>
  <pageSetup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01B1-05DC-42EA-A30B-243E7C951F2F}">
  <sheetPr codeName="Sheet63">
    <tabColor rgb="FFBFDDAB"/>
  </sheetPr>
  <dimension ref="A1:E61"/>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2" width="27.5546875" style="70" customWidth="1"/>
    <col min="3" max="3" width="27.6640625" style="70" customWidth="1"/>
    <col min="4" max="4" width="95.6640625" style="37" customWidth="1"/>
    <col min="5" max="5" width="40.6640625" style="70" customWidth="1"/>
    <col min="6" max="16384" width="8.77734375" style="37"/>
  </cols>
  <sheetData>
    <row r="1" spans="1:5" s="7" customFormat="1" ht="17.399999999999999" x14ac:dyDescent="0.25">
      <c r="A1" s="112" t="s">
        <v>45</v>
      </c>
      <c r="B1" s="2" t="s">
        <v>73</v>
      </c>
      <c r="C1" s="84">
        <v>191.4555</v>
      </c>
      <c r="D1" s="4" t="s">
        <v>1045</v>
      </c>
    </row>
    <row r="2" spans="1:5" s="7" customFormat="1" x14ac:dyDescent="0.25">
      <c r="A2" s="324" t="s">
        <v>74</v>
      </c>
      <c r="C2" s="84">
        <v>6.6817339999999996</v>
      </c>
      <c r="D2" s="4" t="s">
        <v>1046</v>
      </c>
    </row>
    <row r="3" spans="1:5" x14ac:dyDescent="0.25">
      <c r="A3" s="35"/>
      <c r="B3" s="174"/>
      <c r="C3" s="175"/>
    </row>
    <row r="4" spans="1:5" s="62" customFormat="1" x14ac:dyDescent="0.3">
      <c r="A4" s="9" t="s">
        <v>75</v>
      </c>
      <c r="B4" s="9" t="s">
        <v>251</v>
      </c>
      <c r="C4" s="9" t="s">
        <v>77</v>
      </c>
      <c r="D4" s="9" t="s">
        <v>78</v>
      </c>
      <c r="E4" s="9" t="s">
        <v>79</v>
      </c>
    </row>
    <row r="5" spans="1:5" s="63" customFormat="1" ht="60" x14ac:dyDescent="0.25">
      <c r="A5" s="22" t="s">
        <v>80</v>
      </c>
      <c r="B5" s="16">
        <f>SUM(B6:B7)</f>
        <v>0</v>
      </c>
      <c r="C5" s="16">
        <f>SUM(C6:C7)</f>
        <v>0</v>
      </c>
      <c r="D5" s="13"/>
      <c r="E5" s="13"/>
    </row>
    <row r="6" spans="1:5" s="63" customFormat="1" ht="45" x14ac:dyDescent="0.25">
      <c r="A6" s="13" t="s">
        <v>81</v>
      </c>
      <c r="B6" s="16"/>
      <c r="C6" s="16"/>
      <c r="D6" s="13"/>
      <c r="E6" s="13"/>
    </row>
    <row r="7" spans="1:5" s="63" customFormat="1" ht="50.4" customHeight="1" x14ac:dyDescent="0.25">
      <c r="A7" s="13" t="s">
        <v>84</v>
      </c>
      <c r="B7" s="17"/>
      <c r="C7" s="17"/>
      <c r="D7" s="64"/>
      <c r="E7" s="13"/>
    </row>
    <row r="8" spans="1:5" ht="30" x14ac:dyDescent="0.25">
      <c r="A8" s="22" t="s">
        <v>87</v>
      </c>
      <c r="B8" s="20">
        <f>SUM(B9:B11)</f>
        <v>3730000000</v>
      </c>
      <c r="C8" s="20">
        <f>SUM(C9:C11)</f>
        <v>4126106194.6902652</v>
      </c>
      <c r="D8" s="13"/>
      <c r="E8" s="13"/>
    </row>
    <row r="9" spans="1:5" ht="65.400000000000006" customHeight="1" x14ac:dyDescent="0.25">
      <c r="A9" s="13" t="s">
        <v>166</v>
      </c>
      <c r="B9" s="16"/>
      <c r="C9" s="16"/>
      <c r="D9" s="182"/>
      <c r="E9" s="13"/>
    </row>
    <row r="10" spans="1:5" ht="99.6" customHeight="1" x14ac:dyDescent="0.25">
      <c r="A10" s="13" t="s">
        <v>90</v>
      </c>
      <c r="B10" s="183"/>
      <c r="C10" s="184"/>
      <c r="D10" s="24" t="s">
        <v>462</v>
      </c>
      <c r="E10" s="13" t="s">
        <v>175</v>
      </c>
    </row>
    <row r="11" spans="1:5" ht="142.19999999999999" customHeight="1" x14ac:dyDescent="0.25">
      <c r="A11" s="13" t="s">
        <v>92</v>
      </c>
      <c r="B11" s="185">
        <f>+(400+60+600+200+900+1300+20+100+100+50)*10^6</f>
        <v>3730000000</v>
      </c>
      <c r="C11" s="186">
        <f>+B11/$B$36</f>
        <v>4126106194.6902652</v>
      </c>
      <c r="D11" s="53" t="s">
        <v>463</v>
      </c>
      <c r="E11" s="13" t="s">
        <v>464</v>
      </c>
    </row>
    <row r="12" spans="1:5" ht="45" x14ac:dyDescent="0.25">
      <c r="A12" s="22" t="s">
        <v>93</v>
      </c>
      <c r="B12" s="12">
        <f>SUM(B13:B14)</f>
        <v>0</v>
      </c>
      <c r="C12" s="12">
        <f>SUM(C13:C14)</f>
        <v>0</v>
      </c>
      <c r="D12" s="13"/>
      <c r="E12" s="13"/>
    </row>
    <row r="13" spans="1:5" ht="41.4" customHeight="1" x14ac:dyDescent="0.25">
      <c r="A13" s="13" t="s">
        <v>171</v>
      </c>
      <c r="B13" s="67"/>
      <c r="C13" s="67"/>
      <c r="D13" s="13"/>
      <c r="E13" s="13"/>
    </row>
    <row r="14" spans="1:5" ht="84" customHeight="1" x14ac:dyDescent="0.25">
      <c r="A14" s="13" t="s">
        <v>96</v>
      </c>
      <c r="B14" s="67"/>
      <c r="C14" s="67">
        <f>+B14/$B$36</f>
        <v>0</v>
      </c>
      <c r="D14" s="13" t="s">
        <v>465</v>
      </c>
      <c r="E14" s="13" t="s">
        <v>464</v>
      </c>
    </row>
    <row r="15" spans="1:5" ht="45" x14ac:dyDescent="0.25">
      <c r="A15" s="22" t="s">
        <v>97</v>
      </c>
      <c r="B15" s="16"/>
      <c r="C15" s="16"/>
      <c r="D15" s="13"/>
      <c r="E15" s="13"/>
    </row>
    <row r="16" spans="1:5" ht="30" x14ac:dyDescent="0.25">
      <c r="A16" s="22" t="s">
        <v>98</v>
      </c>
      <c r="B16" s="187">
        <f>SUM(B17:B18)</f>
        <v>7496000000</v>
      </c>
      <c r="C16" s="187">
        <f>SUM(C17:C18)</f>
        <v>8292035398.2300882</v>
      </c>
      <c r="D16" s="13"/>
      <c r="E16" s="13"/>
    </row>
    <row r="17" spans="1:5" ht="88.95" customHeight="1" x14ac:dyDescent="0.25">
      <c r="A17" s="13" t="s">
        <v>99</v>
      </c>
      <c r="B17" s="186">
        <f>(296)*10^6</f>
        <v>296000000</v>
      </c>
      <c r="C17" s="186">
        <f>+B17/$B$36</f>
        <v>327433628.31858408</v>
      </c>
      <c r="D17" s="13" t="s">
        <v>466</v>
      </c>
      <c r="E17" s="13" t="s">
        <v>464</v>
      </c>
    </row>
    <row r="18" spans="1:5" ht="86.55" customHeight="1" x14ac:dyDescent="0.25">
      <c r="A18" s="13" t="s">
        <v>101</v>
      </c>
      <c r="B18" s="186">
        <f>+(1+6.2)*1000000000</f>
        <v>7200000000</v>
      </c>
      <c r="C18" s="186">
        <f>+B18/$B$36</f>
        <v>7964601769.9115038</v>
      </c>
      <c r="D18" s="13" t="s">
        <v>467</v>
      </c>
      <c r="E18" s="13" t="s">
        <v>464</v>
      </c>
    </row>
    <row r="19" spans="1:5" ht="30" x14ac:dyDescent="0.25">
      <c r="A19" s="22" t="s">
        <v>103</v>
      </c>
      <c r="B19" s="16"/>
      <c r="C19" s="16"/>
      <c r="D19" s="13"/>
      <c r="E19" s="66"/>
    </row>
    <row r="20" spans="1:5" x14ac:dyDescent="0.25">
      <c r="A20" s="13" t="s">
        <v>104</v>
      </c>
      <c r="B20" s="16"/>
      <c r="C20" s="16"/>
      <c r="D20" s="13"/>
      <c r="E20" s="66"/>
    </row>
    <row r="21" spans="1:5" ht="30" x14ac:dyDescent="0.25">
      <c r="A21" s="22" t="s">
        <v>105</v>
      </c>
      <c r="B21" s="16">
        <f>SUM(B22,B24)</f>
        <v>0</v>
      </c>
      <c r="C21" s="16">
        <f>SUM(C22,C24)</f>
        <v>0</v>
      </c>
      <c r="D21" s="13"/>
      <c r="E21" s="13"/>
    </row>
    <row r="22" spans="1:5" x14ac:dyDescent="0.25">
      <c r="A22" s="22" t="s">
        <v>108</v>
      </c>
      <c r="B22" s="16"/>
      <c r="C22" s="16"/>
      <c r="D22" s="13"/>
      <c r="E22" s="13"/>
    </row>
    <row r="23" spans="1:5" x14ac:dyDescent="0.25">
      <c r="A23" s="13" t="s">
        <v>109</v>
      </c>
      <c r="B23" s="16"/>
      <c r="C23" s="16"/>
      <c r="D23" s="13"/>
      <c r="E23" s="13"/>
    </row>
    <row r="24" spans="1:5" x14ac:dyDescent="0.25">
      <c r="A24" s="22" t="s">
        <v>110</v>
      </c>
      <c r="B24" s="67"/>
      <c r="C24" s="67"/>
      <c r="D24" s="24"/>
      <c r="E24" s="13"/>
    </row>
    <row r="25" spans="1:5" x14ac:dyDescent="0.25">
      <c r="A25" s="13" t="s">
        <v>109</v>
      </c>
      <c r="B25" s="16"/>
      <c r="C25" s="67"/>
      <c r="D25" s="13"/>
      <c r="E25" s="13"/>
    </row>
    <row r="26" spans="1:5" x14ac:dyDescent="0.25">
      <c r="A26" s="22" t="s">
        <v>111</v>
      </c>
      <c r="B26" s="12">
        <f>SUM(B27:B29)</f>
        <v>0</v>
      </c>
      <c r="C26" s="12">
        <f>SUM(C27:C29)</f>
        <v>0</v>
      </c>
      <c r="D26" s="13"/>
      <c r="E26" s="13"/>
    </row>
    <row r="27" spans="1:5" x14ac:dyDescent="0.25">
      <c r="A27" s="13" t="s">
        <v>112</v>
      </c>
      <c r="B27" s="16"/>
      <c r="C27" s="16"/>
      <c r="D27" s="13"/>
      <c r="E27" s="13"/>
    </row>
    <row r="28" spans="1:5" x14ac:dyDescent="0.25">
      <c r="A28" s="13" t="s">
        <v>115</v>
      </c>
      <c r="B28" s="16"/>
      <c r="C28" s="16"/>
      <c r="D28" s="13"/>
      <c r="E28" s="13"/>
    </row>
    <row r="29" spans="1:5" x14ac:dyDescent="0.25">
      <c r="A29" s="13" t="s">
        <v>116</v>
      </c>
      <c r="B29" s="19">
        <f>SUM(B30:B31)</f>
        <v>0</v>
      </c>
      <c r="C29" s="19">
        <f>SUM(C30:C31)</f>
        <v>0</v>
      </c>
      <c r="D29" s="13"/>
      <c r="E29" s="13"/>
    </row>
    <row r="30" spans="1:5" x14ac:dyDescent="0.25">
      <c r="A30" s="25" t="s">
        <v>117</v>
      </c>
      <c r="B30" s="26"/>
      <c r="C30" s="26"/>
      <c r="D30" s="28"/>
      <c r="E30" s="28"/>
    </row>
    <row r="31" spans="1:5" x14ac:dyDescent="0.25">
      <c r="A31" s="25" t="s">
        <v>118</v>
      </c>
      <c r="B31" s="26"/>
      <c r="C31" s="26"/>
      <c r="D31" s="25"/>
      <c r="E31" s="25"/>
    </row>
    <row r="32" spans="1:5" x14ac:dyDescent="0.25">
      <c r="A32" s="22" t="s">
        <v>119</v>
      </c>
      <c r="B32" s="68"/>
      <c r="C32" s="12"/>
      <c r="D32" s="13"/>
      <c r="E32" s="13"/>
    </row>
    <row r="33" spans="1:5" x14ac:dyDescent="0.25">
      <c r="A33" s="35"/>
      <c r="B33" s="176"/>
      <c r="C33" s="176"/>
      <c r="D33" s="33"/>
      <c r="E33" s="33"/>
    </row>
    <row r="34" spans="1:5" x14ac:dyDescent="0.25">
      <c r="A34" s="35" t="s">
        <v>120</v>
      </c>
      <c r="B34" s="71">
        <f>SUM(B5,B8,B12,B15,B16,B32)</f>
        <v>11226000000</v>
      </c>
      <c r="C34" s="71">
        <f>SUM(C5,C8,C12,C15,C16,C32)</f>
        <v>12418141592.920353</v>
      </c>
    </row>
    <row r="35" spans="1:5" x14ac:dyDescent="0.25">
      <c r="A35" s="35"/>
      <c r="B35" s="71"/>
      <c r="C35" s="72"/>
    </row>
    <row r="36" spans="1:5" x14ac:dyDescent="0.25">
      <c r="A36" s="35" t="s">
        <v>121</v>
      </c>
      <c r="B36" s="177">
        <v>0.90400000000000003</v>
      </c>
      <c r="C36" s="74"/>
    </row>
    <row r="37" spans="1:5" x14ac:dyDescent="0.25">
      <c r="A37" s="75" t="s">
        <v>122</v>
      </c>
      <c r="B37" s="179">
        <v>210499000000</v>
      </c>
      <c r="C37" s="179">
        <v>236408000000</v>
      </c>
    </row>
    <row r="38" spans="1:5" x14ac:dyDescent="0.25">
      <c r="A38" s="75" t="s">
        <v>123</v>
      </c>
      <c r="B38" s="179">
        <v>10281762</v>
      </c>
      <c r="C38" s="77"/>
    </row>
    <row r="39" spans="1:5" x14ac:dyDescent="0.25">
      <c r="A39" s="75"/>
      <c r="B39" s="76"/>
      <c r="C39" s="76"/>
    </row>
    <row r="40" spans="1:5" x14ac:dyDescent="0.25">
      <c r="A40" s="7"/>
      <c r="B40" s="46" t="s">
        <v>282</v>
      </c>
      <c r="C40" s="47" t="s">
        <v>125</v>
      </c>
    </row>
    <row r="41" spans="1:5" x14ac:dyDescent="0.25">
      <c r="A41" s="75" t="s">
        <v>126</v>
      </c>
      <c r="B41" s="48">
        <f>$B37/$B38</f>
        <v>20473.047323989798</v>
      </c>
      <c r="C41" s="48">
        <f>$C37/$B38</f>
        <v>22992.946150669504</v>
      </c>
    </row>
    <row r="42" spans="1:5" x14ac:dyDescent="0.25">
      <c r="A42" s="75" t="s">
        <v>127</v>
      </c>
      <c r="B42" s="49">
        <f>($B34/$B37)*100</f>
        <v>5.3330419621945948</v>
      </c>
      <c r="C42" s="49"/>
    </row>
    <row r="43" spans="1:5" x14ac:dyDescent="0.25">
      <c r="A43" s="75" t="s">
        <v>128</v>
      </c>
      <c r="B43" s="78">
        <f>B34/B38</f>
        <v>1091.8362047283335</v>
      </c>
      <c r="C43" s="78">
        <f>C34/B38</f>
        <v>1207.7834123101034</v>
      </c>
    </row>
    <row r="44" spans="1:5" x14ac:dyDescent="0.25">
      <c r="A44" s="75"/>
      <c r="B44" s="78"/>
      <c r="C44" s="78"/>
    </row>
    <row r="45" spans="1:5" x14ac:dyDescent="0.25">
      <c r="A45" s="335" t="s">
        <v>1057</v>
      </c>
      <c r="B45" s="78"/>
      <c r="C45" s="78"/>
    </row>
    <row r="46" spans="1:5" x14ac:dyDescent="0.25">
      <c r="A46" s="75"/>
      <c r="B46" s="78"/>
      <c r="C46" s="78"/>
    </row>
    <row r="47" spans="1:5" x14ac:dyDescent="0.25">
      <c r="A47" s="75"/>
      <c r="B47" s="79"/>
    </row>
    <row r="48" spans="1:5" x14ac:dyDescent="0.25">
      <c r="A48" s="75" t="s">
        <v>129</v>
      </c>
    </row>
    <row r="49" spans="1:5" ht="15.45" customHeight="1" x14ac:dyDescent="0.25">
      <c r="A49" s="52" t="s">
        <v>468</v>
      </c>
      <c r="B49" s="53"/>
      <c r="C49" s="53"/>
      <c r="D49" s="53"/>
      <c r="E49" s="53"/>
    </row>
    <row r="50" spans="1:5" ht="15.45" customHeight="1" x14ac:dyDescent="0.25">
      <c r="A50" s="70" t="s">
        <v>469</v>
      </c>
      <c r="B50" s="53"/>
      <c r="C50" s="53"/>
      <c r="D50" s="53"/>
      <c r="E50" s="53"/>
    </row>
    <row r="51" spans="1:5" ht="15.45" customHeight="1" x14ac:dyDescent="0.25">
      <c r="B51" s="53"/>
      <c r="C51" s="53"/>
      <c r="D51" s="53"/>
      <c r="E51" s="53"/>
    </row>
    <row r="52" spans="1:5" x14ac:dyDescent="0.25">
      <c r="A52" s="75" t="s">
        <v>131</v>
      </c>
    </row>
    <row r="53" spans="1:5" s="70" customFormat="1" x14ac:dyDescent="0.25">
      <c r="A53" s="52" t="s">
        <v>470</v>
      </c>
      <c r="B53" s="37"/>
      <c r="C53" s="147"/>
      <c r="D53" s="37"/>
      <c r="E53" s="37"/>
    </row>
    <row r="54" spans="1:5" s="70" customFormat="1" x14ac:dyDescent="0.25">
      <c r="A54" s="188" t="s">
        <v>471</v>
      </c>
      <c r="B54" s="37"/>
      <c r="C54" s="147"/>
      <c r="D54" s="37"/>
      <c r="E54" s="37"/>
    </row>
    <row r="55" spans="1:5" s="70" customFormat="1" x14ac:dyDescent="0.25">
      <c r="A55" s="188" t="s">
        <v>472</v>
      </c>
      <c r="B55" s="37"/>
      <c r="C55" s="147"/>
      <c r="D55" s="37"/>
      <c r="E55" s="37"/>
    </row>
    <row r="56" spans="1:5" s="70" customFormat="1" x14ac:dyDescent="0.3">
      <c r="A56" s="188" t="s">
        <v>473</v>
      </c>
      <c r="B56" s="33"/>
      <c r="C56" s="33"/>
      <c r="D56" s="33"/>
      <c r="E56" s="33"/>
    </row>
    <row r="57" spans="1:5" s="70" customFormat="1" x14ac:dyDescent="0.25">
      <c r="A57" s="37" t="s">
        <v>474</v>
      </c>
      <c r="D57" s="37"/>
    </row>
    <row r="58" spans="1:5" s="70" customFormat="1" x14ac:dyDescent="0.25">
      <c r="D58" s="37"/>
    </row>
    <row r="59" spans="1:5" s="70" customFormat="1" x14ac:dyDescent="0.25">
      <c r="A59" s="7"/>
      <c r="D59" s="37"/>
    </row>
    <row r="60" spans="1:5" x14ac:dyDescent="0.25">
      <c r="A60" s="367" t="s">
        <v>1060</v>
      </c>
      <c r="B60" s="367"/>
      <c r="C60" s="367"/>
      <c r="D60" s="367"/>
      <c r="E60" s="367"/>
    </row>
    <row r="61" spans="1:5" x14ac:dyDescent="0.25">
      <c r="A61" s="367"/>
      <c r="B61" s="367"/>
      <c r="C61" s="367"/>
      <c r="D61" s="367"/>
      <c r="E61" s="367"/>
    </row>
  </sheetData>
  <sheetProtection algorithmName="SHA-512" hashValue="o7Xb0LpMB9tebhlizO6oWP2mOD5vNasOy8jpYFGnE37+fScjMHWoO+OQN/7LQe7btUTIP2DjGe6iy9HaD/XOoA==" saltValue="3VaAjISmDhMiz+AXUhsKUw==" spinCount="100000" sheet="1" formatCells="0" formatColumns="0" formatRows="0" insertColumns="0" insertRows="0" insertHyperlinks="0" deleteColumns="0" deleteRows="0" sort="0" autoFilter="0" pivotTables="0"/>
  <mergeCells count="1">
    <mergeCell ref="A60:E61"/>
  </mergeCells>
  <hyperlinks>
    <hyperlink ref="A2" location="Index!H37" display="[Back to Index]" xr:uid="{A57F87CC-96B8-4FF0-BA8D-B0A0425E9F5B}"/>
  </hyperlinks>
  <pageMargins left="0.7" right="0.7" top="0.75" bottom="0.75" header="0.3" footer="0.3"/>
  <pageSetup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8EDCA-6266-4327-9007-93EB0A05F200}">
  <sheetPr codeName="Sheet64">
    <tabColor rgb="FFBFDDAB"/>
  </sheetPr>
  <dimension ref="A1:E64"/>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6640625" style="38" customWidth="1"/>
    <col min="4" max="4" width="95.6640625" style="37" customWidth="1"/>
    <col min="5" max="5" width="40.6640625" style="38" customWidth="1"/>
    <col min="6" max="16384" width="8.77734375" style="18"/>
  </cols>
  <sheetData>
    <row r="1" spans="1:5" s="5" customFormat="1" ht="17.399999999999999" x14ac:dyDescent="0.25">
      <c r="A1" s="112" t="s">
        <v>48</v>
      </c>
      <c r="B1" s="2" t="s">
        <v>73</v>
      </c>
      <c r="C1" s="84">
        <v>410.33949999999999</v>
      </c>
      <c r="D1" s="4" t="s">
        <v>1045</v>
      </c>
    </row>
    <row r="2" spans="1:5" s="5" customFormat="1" x14ac:dyDescent="0.25">
      <c r="A2" s="324" t="s">
        <v>74</v>
      </c>
      <c r="C2" s="84">
        <v>42.896819999999998</v>
      </c>
      <c r="D2" s="4" t="s">
        <v>1046</v>
      </c>
    </row>
    <row r="3" spans="1:5" x14ac:dyDescent="0.25">
      <c r="A3" s="154"/>
      <c r="B3" s="222"/>
      <c r="C3" s="142"/>
    </row>
    <row r="4" spans="1:5" s="10" customFormat="1" x14ac:dyDescent="0.3">
      <c r="A4" s="8" t="s">
        <v>75</v>
      </c>
      <c r="B4" s="9" t="s">
        <v>251</v>
      </c>
      <c r="C4" s="9" t="s">
        <v>77</v>
      </c>
      <c r="D4" s="9" t="s">
        <v>78</v>
      </c>
      <c r="E4" s="8" t="s">
        <v>79</v>
      </c>
    </row>
    <row r="5" spans="1:5" s="15" customFormat="1" ht="60" x14ac:dyDescent="0.25">
      <c r="A5" s="11" t="s">
        <v>80</v>
      </c>
      <c r="B5" s="12">
        <f>SUM(B6:B7)</f>
        <v>0</v>
      </c>
      <c r="C5" s="12">
        <f>SUM(C6:C7)</f>
        <v>0</v>
      </c>
      <c r="D5" s="13"/>
      <c r="E5" s="83"/>
    </row>
    <row r="6" spans="1:5" s="15" customFormat="1" ht="45" x14ac:dyDescent="0.25">
      <c r="A6" s="14" t="s">
        <v>81</v>
      </c>
      <c r="B6" s="16"/>
      <c r="C6" s="16"/>
      <c r="D6" s="90"/>
      <c r="E6" s="150"/>
    </row>
    <row r="7" spans="1:5" s="15" customFormat="1" ht="45" x14ac:dyDescent="0.25">
      <c r="A7" s="14" t="s">
        <v>84</v>
      </c>
      <c r="B7" s="17"/>
      <c r="C7" s="17"/>
      <c r="D7" s="13"/>
      <c r="E7" s="83"/>
    </row>
    <row r="8" spans="1:5" ht="30" x14ac:dyDescent="0.25">
      <c r="A8" s="11" t="s">
        <v>87</v>
      </c>
      <c r="B8" s="12">
        <f>SUM(B9:B11)</f>
        <v>102000000000</v>
      </c>
      <c r="C8" s="12">
        <f>SUM(C9:C11)</f>
        <v>112831858407.07964</v>
      </c>
      <c r="D8" s="13"/>
      <c r="E8" s="14"/>
    </row>
    <row r="9" spans="1:5" ht="60" x14ac:dyDescent="0.25">
      <c r="A9" s="14" t="s">
        <v>88</v>
      </c>
      <c r="B9" s="16"/>
      <c r="C9" s="16"/>
      <c r="D9" s="13"/>
      <c r="E9" s="14"/>
    </row>
    <row r="10" spans="1:5" ht="45" x14ac:dyDescent="0.25">
      <c r="A10" s="14" t="s">
        <v>90</v>
      </c>
      <c r="B10" s="16"/>
      <c r="C10" s="16"/>
      <c r="D10" s="13"/>
      <c r="E10" s="14"/>
    </row>
    <row r="11" spans="1:5" ht="111" customHeight="1" x14ac:dyDescent="0.25">
      <c r="A11" s="14" t="s">
        <v>92</v>
      </c>
      <c r="B11" s="16">
        <f>(100+2)*10^9</f>
        <v>102000000000</v>
      </c>
      <c r="C11" s="16">
        <f>B11/B36</f>
        <v>112831858407.07964</v>
      </c>
      <c r="D11" s="24" t="s">
        <v>892</v>
      </c>
      <c r="E11" s="24" t="s">
        <v>893</v>
      </c>
    </row>
    <row r="12" spans="1:5" ht="45" x14ac:dyDescent="0.25">
      <c r="A12" s="11" t="s">
        <v>93</v>
      </c>
      <c r="B12" s="12">
        <f>SUM(B13:B14)</f>
        <v>20400000000</v>
      </c>
      <c r="C12" s="12">
        <f>SUM(C13:C14)</f>
        <v>22566371681.415928</v>
      </c>
      <c r="D12" s="13"/>
      <c r="E12" s="14"/>
    </row>
    <row r="13" spans="1:5" ht="60" x14ac:dyDescent="0.25">
      <c r="A13" s="14" t="s">
        <v>94</v>
      </c>
      <c r="B13" s="285">
        <f>(0.4+10)*10^9</f>
        <v>10400000000</v>
      </c>
      <c r="C13" s="16">
        <f>B13/B36</f>
        <v>11504424778.761061</v>
      </c>
      <c r="D13" s="13" t="s">
        <v>894</v>
      </c>
      <c r="E13" s="24" t="s">
        <v>893</v>
      </c>
    </row>
    <row r="14" spans="1:5" ht="45" x14ac:dyDescent="0.25">
      <c r="A14" s="14" t="s">
        <v>96</v>
      </c>
      <c r="B14" s="16">
        <f>10*10^9</f>
        <v>10000000000</v>
      </c>
      <c r="C14" s="16">
        <f>B14/B36</f>
        <v>11061946902.654867</v>
      </c>
      <c r="D14" s="13" t="s">
        <v>895</v>
      </c>
      <c r="E14" s="24" t="s">
        <v>893</v>
      </c>
    </row>
    <row r="15" spans="1:5" ht="45" x14ac:dyDescent="0.25">
      <c r="A15" s="11" t="s">
        <v>97</v>
      </c>
      <c r="B15" s="12">
        <v>0</v>
      </c>
      <c r="C15" s="12">
        <v>0</v>
      </c>
      <c r="D15" s="13"/>
      <c r="E15" s="14"/>
    </row>
    <row r="16" spans="1:5" ht="30" x14ac:dyDescent="0.25">
      <c r="A16" s="11" t="s">
        <v>98</v>
      </c>
      <c r="B16" s="12">
        <f>SUM(B17:B18)</f>
        <v>22910000000</v>
      </c>
      <c r="C16" s="12">
        <f>SUM(C17:C18)</f>
        <v>25342920353.9823</v>
      </c>
      <c r="E16" s="14"/>
    </row>
    <row r="17" spans="1:5" ht="90" x14ac:dyDescent="0.25">
      <c r="A17" s="13" t="s">
        <v>99</v>
      </c>
      <c r="B17" s="285">
        <f>(1+2.8+0.11)*10^9</f>
        <v>3909999999.9999995</v>
      </c>
      <c r="C17" s="16">
        <f>B17/B36</f>
        <v>4325221238.9380522</v>
      </c>
      <c r="D17" s="13" t="s">
        <v>896</v>
      </c>
      <c r="E17" s="24" t="s">
        <v>893</v>
      </c>
    </row>
    <row r="18" spans="1:5" ht="285" x14ac:dyDescent="0.25">
      <c r="A18" s="13" t="s">
        <v>101</v>
      </c>
      <c r="B18" s="285">
        <f>(14+5)*10^9</f>
        <v>19000000000</v>
      </c>
      <c r="C18" s="16">
        <f>B18/B36</f>
        <v>21017699115.044247</v>
      </c>
      <c r="D18" s="83" t="s">
        <v>897</v>
      </c>
      <c r="E18" s="14" t="s">
        <v>898</v>
      </c>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16"/>
      <c r="C24" s="16"/>
      <c r="D24" s="13"/>
      <c r="E24" s="14"/>
    </row>
    <row r="25" spans="1:5" x14ac:dyDescent="0.25">
      <c r="A25" s="13" t="s">
        <v>109</v>
      </c>
      <c r="B25" s="16"/>
      <c r="C25" s="16"/>
      <c r="D25" s="13"/>
      <c r="E25" s="14"/>
    </row>
    <row r="26" spans="1:5" x14ac:dyDescent="0.25">
      <c r="A26" s="22" t="s">
        <v>111</v>
      </c>
      <c r="B26" s="16">
        <f>SUM(B27:B29)</f>
        <v>0</v>
      </c>
      <c r="C26" s="16">
        <f>SUM(C27:C29)</f>
        <v>0</v>
      </c>
      <c r="D26" s="13"/>
      <c r="E26" s="14"/>
    </row>
    <row r="27" spans="1:5" x14ac:dyDescent="0.25">
      <c r="A27" s="13" t="s">
        <v>112</v>
      </c>
      <c r="B27" s="286"/>
      <c r="C27" s="287"/>
      <c r="D27" s="13"/>
      <c r="E27" s="14"/>
    </row>
    <row r="28" spans="1:5" x14ac:dyDescent="0.25">
      <c r="A28" s="13" t="s">
        <v>115</v>
      </c>
      <c r="B28" s="16"/>
      <c r="C28" s="16"/>
      <c r="D28" s="13"/>
      <c r="E28" s="14"/>
    </row>
    <row r="29" spans="1:5" x14ac:dyDescent="0.25">
      <c r="A29" s="14" t="s">
        <v>116</v>
      </c>
      <c r="B29" s="16">
        <f>SUM(B30:B31)</f>
        <v>0</v>
      </c>
      <c r="C29" s="16">
        <f>SUM(C30:C31)</f>
        <v>0</v>
      </c>
      <c r="D29" s="13"/>
      <c r="E29" s="14"/>
    </row>
    <row r="30" spans="1:5" x14ac:dyDescent="0.25">
      <c r="A30" s="29" t="s">
        <v>117</v>
      </c>
      <c r="B30" s="26"/>
      <c r="C30" s="26"/>
      <c r="D30" s="25"/>
      <c r="E30" s="29"/>
    </row>
    <row r="31" spans="1:5" x14ac:dyDescent="0.25">
      <c r="A31" s="29" t="s">
        <v>118</v>
      </c>
      <c r="B31" s="26"/>
      <c r="C31" s="26"/>
      <c r="D31" s="25"/>
      <c r="E31" s="29"/>
    </row>
    <row r="32" spans="1:5" x14ac:dyDescent="0.25">
      <c r="A32" s="11" t="s">
        <v>119</v>
      </c>
      <c r="B32" s="12">
        <v>0</v>
      </c>
      <c r="C32" s="12">
        <v>0</v>
      </c>
      <c r="D32" s="56"/>
      <c r="E32" s="14"/>
    </row>
    <row r="33" spans="1:5" x14ac:dyDescent="0.25">
      <c r="A33" s="31"/>
      <c r="B33" s="120"/>
      <c r="C33" s="120"/>
      <c r="D33" s="33"/>
      <c r="E33" s="34"/>
    </row>
    <row r="34" spans="1:5" x14ac:dyDescent="0.25">
      <c r="A34" s="35" t="s">
        <v>120</v>
      </c>
      <c r="B34" s="265">
        <f>(SUM(B5,B8,B12,B15,B16))</f>
        <v>145310000000</v>
      </c>
      <c r="C34" s="265">
        <f>(SUM(C5,C8,C12,C15,C16))</f>
        <v>160741150442.47784</v>
      </c>
    </row>
    <row r="35" spans="1:5" x14ac:dyDescent="0.25">
      <c r="A35" s="31"/>
      <c r="B35" s="39"/>
      <c r="C35" s="40"/>
    </row>
    <row r="36" spans="1:5" x14ac:dyDescent="0.25">
      <c r="A36" s="31" t="s">
        <v>121</v>
      </c>
      <c r="B36" s="268">
        <v>0.90400000000000003</v>
      </c>
      <c r="C36" s="42"/>
    </row>
    <row r="37" spans="1:5" x14ac:dyDescent="0.25">
      <c r="A37" s="43" t="s">
        <v>122</v>
      </c>
      <c r="B37" s="269">
        <v>1244670000000</v>
      </c>
      <c r="C37" s="269">
        <v>1397870000000</v>
      </c>
    </row>
    <row r="38" spans="1:5" x14ac:dyDescent="0.25">
      <c r="A38" s="43" t="s">
        <v>123</v>
      </c>
      <c r="B38" s="269">
        <v>46723749</v>
      </c>
      <c r="C38" s="152"/>
    </row>
    <row r="39" spans="1:5" x14ac:dyDescent="0.25">
      <c r="A39" s="43"/>
      <c r="B39" s="44"/>
      <c r="C39" s="44"/>
    </row>
    <row r="40" spans="1:5" x14ac:dyDescent="0.25">
      <c r="A40" s="5"/>
      <c r="B40" s="46" t="s">
        <v>282</v>
      </c>
      <c r="C40" s="47" t="s">
        <v>125</v>
      </c>
    </row>
    <row r="41" spans="1:5" x14ac:dyDescent="0.25">
      <c r="A41" s="43" t="s">
        <v>126</v>
      </c>
      <c r="B41" s="269">
        <f>$B37/$B38</f>
        <v>26638.915468876439</v>
      </c>
      <c r="C41" s="269">
        <f>$C37/$B38</f>
        <v>29917.761950138032</v>
      </c>
    </row>
    <row r="42" spans="1:5" x14ac:dyDescent="0.25">
      <c r="A42" s="43" t="s">
        <v>127</v>
      </c>
      <c r="B42" s="268">
        <f>($B34/$B37)*100</f>
        <v>11.674580410871958</v>
      </c>
      <c r="C42" s="96"/>
    </row>
    <row r="43" spans="1:5" x14ac:dyDescent="0.25">
      <c r="A43" s="43" t="s">
        <v>128</v>
      </c>
      <c r="B43" s="268">
        <f>B34/B38</f>
        <v>3109.9816069981885</v>
      </c>
      <c r="C43" s="268">
        <f>C34/B38</f>
        <v>3440.2451404847211</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x14ac:dyDescent="0.25">
      <c r="A49" s="277" t="s">
        <v>130</v>
      </c>
    </row>
    <row r="50" spans="1:5" ht="16.2" customHeight="1" x14ac:dyDescent="0.25">
      <c r="A50" s="37"/>
    </row>
    <row r="51" spans="1:5" x14ac:dyDescent="0.25">
      <c r="A51" s="43" t="s">
        <v>131</v>
      </c>
    </row>
    <row r="52" spans="1:5" x14ac:dyDescent="0.25">
      <c r="A52" s="54" t="s">
        <v>899</v>
      </c>
      <c r="B52" s="37"/>
      <c r="C52" s="37"/>
      <c r="E52" s="37"/>
    </row>
    <row r="53" spans="1:5" x14ac:dyDescent="0.25">
      <c r="A53" s="37" t="s">
        <v>900</v>
      </c>
      <c r="B53" s="37"/>
      <c r="C53" s="37"/>
      <c r="E53" s="37"/>
    </row>
    <row r="54" spans="1:5" x14ac:dyDescent="0.25">
      <c r="A54" s="37" t="s">
        <v>901</v>
      </c>
      <c r="B54" s="37"/>
      <c r="C54" s="37"/>
      <c r="E54" s="37"/>
    </row>
    <row r="55" spans="1:5" x14ac:dyDescent="0.25">
      <c r="A55" s="37" t="s">
        <v>902</v>
      </c>
      <c r="B55" s="37"/>
      <c r="C55" s="37"/>
      <c r="E55" s="37"/>
    </row>
    <row r="56" spans="1:5" x14ac:dyDescent="0.25">
      <c r="A56" s="37" t="s">
        <v>903</v>
      </c>
      <c r="B56" s="37"/>
      <c r="C56" s="37"/>
      <c r="E56" s="37"/>
    </row>
    <row r="57" spans="1:5" x14ac:dyDescent="0.25">
      <c r="A57" s="37" t="s">
        <v>904</v>
      </c>
      <c r="B57" s="37"/>
      <c r="C57" s="37"/>
      <c r="E57" s="37"/>
    </row>
    <row r="58" spans="1:5" x14ac:dyDescent="0.25">
      <c r="A58" s="369" t="s">
        <v>905</v>
      </c>
      <c r="B58" s="369"/>
      <c r="C58" s="369"/>
      <c r="D58" s="369"/>
      <c r="E58" s="369"/>
    </row>
    <row r="59" spans="1:5" x14ac:dyDescent="0.25">
      <c r="A59" s="369"/>
      <c r="B59" s="369"/>
      <c r="C59" s="369"/>
      <c r="D59" s="369"/>
      <c r="E59" s="369"/>
    </row>
    <row r="60" spans="1:5" s="38" customFormat="1" x14ac:dyDescent="0.25">
      <c r="A60" s="18" t="s">
        <v>710</v>
      </c>
      <c r="D60" s="37"/>
    </row>
    <row r="61" spans="1:5" s="38" customFormat="1" x14ac:dyDescent="0.25">
      <c r="A61" s="5"/>
      <c r="D61" s="37"/>
    </row>
    <row r="63" spans="1:5" x14ac:dyDescent="0.25">
      <c r="A63" s="364" t="s">
        <v>1060</v>
      </c>
      <c r="B63" s="364"/>
      <c r="C63" s="364"/>
      <c r="D63" s="364"/>
      <c r="E63" s="364"/>
    </row>
    <row r="64" spans="1:5" x14ac:dyDescent="0.25">
      <c r="A64" s="364"/>
      <c r="B64" s="364"/>
      <c r="C64" s="364"/>
      <c r="D64" s="364"/>
      <c r="E64" s="364"/>
    </row>
  </sheetData>
  <sheetProtection algorithmName="SHA-512" hashValue="P8rYr1PLuHM4Pamh0MQlwbGnjNH5hZRToR3JL0tBG0XQL4Q0CzVVvXwXGb0P6LJ70CNE/XpbUffLEbmvhnLZEA==" saltValue="LH3uaYMP+/Cz1FKPr9dNUw==" spinCount="100000" sheet="1" formatCells="0" formatColumns="0" formatRows="0" insertColumns="0" insertRows="0" insertHyperlinks="0" deleteColumns="0" deleteRows="0" sort="0" autoFilter="0" pivotTables="0"/>
  <mergeCells count="2">
    <mergeCell ref="A58:E59"/>
    <mergeCell ref="A63:E64"/>
  </mergeCells>
  <hyperlinks>
    <hyperlink ref="A2" location="Index!H38" display="[Back to Index]" xr:uid="{81C5A9CD-B3C0-4DC3-AA91-F2D867F0CA4A}"/>
  </hyperlinks>
  <pageMargins left="0.7" right="0.7" top="0.75" bottom="0.75" header="0.3" footer="0.3"/>
  <pageSetup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A3C93-4E8B-4414-B60F-F569D330B7DA}">
  <sheetPr codeName="Sheet65">
    <tabColor rgb="FFBFDDAB"/>
  </sheetPr>
  <dimension ref="A1:E61"/>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2" width="27.5546875" style="70" customWidth="1"/>
    <col min="3" max="3" width="27.6640625" style="70" customWidth="1"/>
    <col min="4" max="4" width="95.6640625" style="70" customWidth="1"/>
    <col min="5" max="5" width="40.6640625" style="70" customWidth="1"/>
    <col min="6" max="16384" width="8.77734375" style="37"/>
  </cols>
  <sheetData>
    <row r="1" spans="1:5" s="7" customFormat="1" ht="17.399999999999999" x14ac:dyDescent="0.25">
      <c r="A1" s="112" t="s">
        <v>50</v>
      </c>
      <c r="B1" s="2" t="s">
        <v>73</v>
      </c>
      <c r="C1" s="84">
        <v>135.7337</v>
      </c>
      <c r="D1" s="4" t="s">
        <v>1045</v>
      </c>
      <c r="E1" s="145"/>
    </row>
    <row r="2" spans="1:5" s="7" customFormat="1" x14ac:dyDescent="0.25">
      <c r="A2" s="324" t="s">
        <v>74</v>
      </c>
      <c r="C2" s="84">
        <v>14.838200000000001</v>
      </c>
      <c r="D2" s="4" t="s">
        <v>1046</v>
      </c>
    </row>
    <row r="3" spans="1:5" x14ac:dyDescent="0.25">
      <c r="A3" s="35"/>
      <c r="B3" s="174"/>
      <c r="C3" s="175"/>
    </row>
    <row r="4" spans="1:5" s="62" customFormat="1" x14ac:dyDescent="0.3">
      <c r="A4" s="9" t="s">
        <v>75</v>
      </c>
      <c r="B4" s="9" t="s">
        <v>475</v>
      </c>
      <c r="C4" s="9" t="s">
        <v>77</v>
      </c>
      <c r="D4" s="115" t="s">
        <v>78</v>
      </c>
      <c r="E4" s="9" t="s">
        <v>79</v>
      </c>
    </row>
    <row r="5" spans="1:5" s="63" customFormat="1" ht="60" x14ac:dyDescent="0.25">
      <c r="A5" s="22" t="s">
        <v>80</v>
      </c>
      <c r="B5" s="12">
        <f>SUM(B6:B7)</f>
        <v>1090121000000</v>
      </c>
      <c r="C5" s="12">
        <f>SUM(C6:C7)</f>
        <v>110837031727.39151</v>
      </c>
      <c r="D5" s="13"/>
      <c r="E5" s="13"/>
    </row>
    <row r="6" spans="1:5" s="63" customFormat="1" ht="105" x14ac:dyDescent="0.25">
      <c r="A6" s="13" t="s">
        <v>81</v>
      </c>
      <c r="B6" s="16">
        <f>500*10^9</f>
        <v>500000000000</v>
      </c>
      <c r="C6" s="16">
        <f>+B6/$B$36</f>
        <v>50837031727.391502</v>
      </c>
      <c r="D6" s="13" t="s">
        <v>1090</v>
      </c>
      <c r="E6" s="13" t="s">
        <v>476</v>
      </c>
    </row>
    <row r="7" spans="1:5" s="63" customFormat="1" ht="60" x14ac:dyDescent="0.25">
      <c r="A7" s="13" t="s">
        <v>84</v>
      </c>
      <c r="B7" s="16">
        <f>60*10^9*$B$36</f>
        <v>590121000000</v>
      </c>
      <c r="C7" s="16">
        <f>B7/$B$36</f>
        <v>60000000000</v>
      </c>
      <c r="D7" s="24" t="s">
        <v>1096</v>
      </c>
      <c r="E7" s="13" t="s">
        <v>83</v>
      </c>
    </row>
    <row r="8" spans="1:5" ht="30" x14ac:dyDescent="0.25">
      <c r="A8" s="22" t="s">
        <v>87</v>
      </c>
      <c r="B8" s="12">
        <f>SUM(B9:B11)</f>
        <v>55075000000</v>
      </c>
      <c r="C8" s="12">
        <f>SUM(C9:C11)</f>
        <v>5599699044.7721739</v>
      </c>
      <c r="D8" s="13"/>
      <c r="E8" s="13"/>
    </row>
    <row r="9" spans="1:5" ht="60" x14ac:dyDescent="0.25">
      <c r="A9" s="13" t="s">
        <v>166</v>
      </c>
      <c r="B9" s="16"/>
      <c r="C9" s="67"/>
      <c r="D9" s="13"/>
      <c r="E9" s="13"/>
    </row>
    <row r="10" spans="1:5" ht="123.6" customHeight="1" x14ac:dyDescent="0.25">
      <c r="A10" s="13" t="s">
        <v>90</v>
      </c>
      <c r="B10" s="16"/>
      <c r="C10" s="16"/>
      <c r="D10" s="24" t="s">
        <v>477</v>
      </c>
      <c r="E10" s="13" t="s">
        <v>83</v>
      </c>
    </row>
    <row r="11" spans="1:5" ht="91.5" customHeight="1" x14ac:dyDescent="0.25">
      <c r="A11" s="13" t="s">
        <v>92</v>
      </c>
      <c r="B11" s="16">
        <f>+(5+50+0.075)*10^9</f>
        <v>55075000000</v>
      </c>
      <c r="C11" s="16">
        <f>+B11/$B$36</f>
        <v>5599699044.7721739</v>
      </c>
      <c r="D11" s="24" t="s">
        <v>478</v>
      </c>
      <c r="E11" s="13" t="s">
        <v>479</v>
      </c>
    </row>
    <row r="12" spans="1:5" ht="45" x14ac:dyDescent="0.25">
      <c r="A12" s="22" t="s">
        <v>93</v>
      </c>
      <c r="B12" s="12">
        <f>SUM(B13:B14)</f>
        <v>78000000000</v>
      </c>
      <c r="C12" s="12">
        <f>+B12/$B$36</f>
        <v>7930576949.473074</v>
      </c>
      <c r="D12" s="24"/>
      <c r="E12" s="13"/>
    </row>
    <row r="13" spans="1:5" ht="133.19999999999999" customHeight="1" x14ac:dyDescent="0.25">
      <c r="A13" s="13" t="s">
        <v>171</v>
      </c>
      <c r="B13" s="16">
        <f>+(75+3)*10^9</f>
        <v>78000000000</v>
      </c>
      <c r="C13" s="16">
        <f>+B13/$B$36</f>
        <v>7930576949.473074</v>
      </c>
      <c r="D13" s="24" t="s">
        <v>480</v>
      </c>
      <c r="E13" s="13" t="s">
        <v>481</v>
      </c>
    </row>
    <row r="14" spans="1:5" ht="54" customHeight="1" x14ac:dyDescent="0.25">
      <c r="A14" s="13" t="s">
        <v>96</v>
      </c>
      <c r="B14" s="16"/>
      <c r="C14" s="67"/>
      <c r="D14" s="24" t="s">
        <v>482</v>
      </c>
      <c r="E14" s="13" t="s">
        <v>83</v>
      </c>
    </row>
    <row r="15" spans="1:5" ht="45" x14ac:dyDescent="0.25">
      <c r="A15" s="22" t="s">
        <v>97</v>
      </c>
      <c r="B15" s="12"/>
      <c r="C15" s="180"/>
      <c r="D15" s="24"/>
      <c r="E15" s="13"/>
    </row>
    <row r="16" spans="1:5" ht="30" x14ac:dyDescent="0.25">
      <c r="A16" s="22" t="s">
        <v>98</v>
      </c>
      <c r="B16" s="187">
        <f>SUM(B17:B18)</f>
        <v>436500000000</v>
      </c>
      <c r="C16" s="187">
        <f>SUM(C17:C18)</f>
        <v>44380728698.012779</v>
      </c>
      <c r="D16" s="13"/>
      <c r="E16" s="13"/>
    </row>
    <row r="17" spans="1:5" ht="67.5" customHeight="1" x14ac:dyDescent="0.25">
      <c r="A17" s="13" t="s">
        <v>99</v>
      </c>
      <c r="B17" s="186">
        <f>23*10^9</f>
        <v>23000000000</v>
      </c>
      <c r="C17" s="186">
        <f>+B17/$B$36</f>
        <v>2338503459.4600091</v>
      </c>
      <c r="D17" s="24" t="s">
        <v>483</v>
      </c>
      <c r="E17" s="13" t="s">
        <v>464</v>
      </c>
    </row>
    <row r="18" spans="1:5" ht="225" x14ac:dyDescent="0.25">
      <c r="A18" s="13" t="s">
        <v>101</v>
      </c>
      <c r="B18" s="186">
        <f>(20+0.5+33+5+20+315+7+13)*10^9</f>
        <v>413500000000</v>
      </c>
      <c r="C18" s="186">
        <f>+B18/$B$36</f>
        <v>42042225238.552773</v>
      </c>
      <c r="D18" s="24" t="s">
        <v>484</v>
      </c>
      <c r="E18" s="13" t="s">
        <v>464</v>
      </c>
    </row>
    <row r="19" spans="1:5" ht="31.05" customHeight="1" x14ac:dyDescent="0.25">
      <c r="A19" s="22" t="s">
        <v>103</v>
      </c>
      <c r="B19" s="189"/>
      <c r="C19" s="189"/>
      <c r="D19" s="63"/>
      <c r="E19" s="13"/>
    </row>
    <row r="20" spans="1:5" x14ac:dyDescent="0.25">
      <c r="A20" s="13" t="s">
        <v>104</v>
      </c>
      <c r="B20" s="189"/>
      <c r="C20" s="189"/>
      <c r="D20" s="63"/>
      <c r="E20" s="13"/>
    </row>
    <row r="21" spans="1:5" ht="30" x14ac:dyDescent="0.25">
      <c r="A21" s="22" t="s">
        <v>105</v>
      </c>
      <c r="B21" s="189">
        <f>SUM(B22,B24)</f>
        <v>300000000000</v>
      </c>
      <c r="C21" s="189">
        <f>SUM(C22,C24)</f>
        <v>30502219036.434902</v>
      </c>
      <c r="D21" s="13"/>
      <c r="E21" s="13"/>
    </row>
    <row r="22" spans="1:5" x14ac:dyDescent="0.25">
      <c r="A22" s="22" t="s">
        <v>108</v>
      </c>
      <c r="B22" s="189"/>
      <c r="C22" s="189"/>
      <c r="D22" s="13"/>
      <c r="E22" s="13"/>
    </row>
    <row r="23" spans="1:5" x14ac:dyDescent="0.25">
      <c r="A23" s="13" t="s">
        <v>109</v>
      </c>
      <c r="B23" s="189"/>
      <c r="C23" s="189"/>
      <c r="D23" s="13"/>
      <c r="E23" s="13"/>
    </row>
    <row r="24" spans="1:5" ht="118.5" customHeight="1" x14ac:dyDescent="0.25">
      <c r="A24" s="22" t="s">
        <v>110</v>
      </c>
      <c r="B24" s="186">
        <f>300*10^9</f>
        <v>300000000000</v>
      </c>
      <c r="C24" s="186">
        <f>+B24/$B$36</f>
        <v>30502219036.434902</v>
      </c>
      <c r="D24" s="24" t="s">
        <v>485</v>
      </c>
      <c r="E24" s="13" t="s">
        <v>486</v>
      </c>
    </row>
    <row r="25" spans="1:5" x14ac:dyDescent="0.25">
      <c r="A25" s="13" t="s">
        <v>109</v>
      </c>
      <c r="B25" s="16"/>
      <c r="C25" s="67"/>
      <c r="D25" s="13"/>
      <c r="E25" s="13"/>
    </row>
    <row r="26" spans="1:5" x14ac:dyDescent="0.25">
      <c r="A26" s="22" t="s">
        <v>111</v>
      </c>
      <c r="B26" s="12">
        <f>SUM(B27:B29)</f>
        <v>0</v>
      </c>
      <c r="C26" s="12">
        <f>SUM(C27:C29)</f>
        <v>0</v>
      </c>
      <c r="D26" s="13"/>
      <c r="E26" s="13"/>
    </row>
    <row r="27" spans="1:5" ht="56.4" customHeight="1" x14ac:dyDescent="0.25">
      <c r="A27" s="13" t="s">
        <v>112</v>
      </c>
      <c r="B27" s="19"/>
      <c r="C27" s="19"/>
      <c r="D27" s="13" t="s">
        <v>487</v>
      </c>
      <c r="E27" s="13" t="s">
        <v>83</v>
      </c>
    </row>
    <row r="28" spans="1:5" x14ac:dyDescent="0.25">
      <c r="A28" s="13" t="s">
        <v>115</v>
      </c>
      <c r="B28" s="16"/>
      <c r="C28" s="16"/>
      <c r="D28" s="13"/>
      <c r="E28" s="13"/>
    </row>
    <row r="29" spans="1:5" x14ac:dyDescent="0.25">
      <c r="A29" s="13" t="s">
        <v>116</v>
      </c>
      <c r="B29" s="16"/>
      <c r="C29" s="16"/>
      <c r="D29" s="13"/>
      <c r="E29" s="13"/>
    </row>
    <row r="30" spans="1:5" x14ac:dyDescent="0.25">
      <c r="A30" s="25" t="s">
        <v>117</v>
      </c>
      <c r="B30" s="26"/>
      <c r="C30" s="26"/>
      <c r="D30" s="28"/>
      <c r="E30" s="28"/>
    </row>
    <row r="31" spans="1:5" x14ac:dyDescent="0.25">
      <c r="A31" s="25" t="s">
        <v>118</v>
      </c>
      <c r="B31" s="26"/>
      <c r="C31" s="26"/>
      <c r="D31" s="25"/>
      <c r="E31" s="25"/>
    </row>
    <row r="32" spans="1:5" x14ac:dyDescent="0.25">
      <c r="A32" s="22" t="s">
        <v>119</v>
      </c>
      <c r="B32" s="180"/>
      <c r="C32" s="180"/>
      <c r="D32" s="13"/>
      <c r="E32" s="13"/>
    </row>
    <row r="33" spans="1:5" x14ac:dyDescent="0.25">
      <c r="A33" s="35"/>
      <c r="B33" s="176"/>
      <c r="C33" s="176"/>
      <c r="D33" s="33"/>
      <c r="E33" s="33"/>
    </row>
    <row r="34" spans="1:5" x14ac:dyDescent="0.25">
      <c r="A34" s="35" t="s">
        <v>120</v>
      </c>
      <c r="B34" s="71">
        <f>SUM(B5,B8,B12,B15,B16)+B32</f>
        <v>1659696000000</v>
      </c>
      <c r="C34" s="71">
        <f>SUM(C5,C8,C12,C15,C16)+C32</f>
        <v>168748036419.64954</v>
      </c>
    </row>
    <row r="35" spans="1:5" x14ac:dyDescent="0.25">
      <c r="A35" s="35"/>
      <c r="B35" s="71"/>
      <c r="C35" s="72"/>
    </row>
    <row r="36" spans="1:5" x14ac:dyDescent="0.25">
      <c r="A36" s="35" t="s">
        <v>121</v>
      </c>
      <c r="B36" s="49">
        <v>9.83535</v>
      </c>
      <c r="C36" s="74"/>
    </row>
    <row r="37" spans="1:5" x14ac:dyDescent="0.25">
      <c r="A37" s="75" t="s">
        <v>122</v>
      </c>
      <c r="B37" s="77">
        <v>4994560000000</v>
      </c>
      <c r="C37" s="77">
        <v>528929000000</v>
      </c>
    </row>
    <row r="38" spans="1:5" x14ac:dyDescent="0.25">
      <c r="A38" s="75" t="s">
        <v>123</v>
      </c>
      <c r="B38" s="77">
        <v>10183175</v>
      </c>
      <c r="C38" s="162"/>
    </row>
    <row r="39" spans="1:5" x14ac:dyDescent="0.25">
      <c r="A39" s="75"/>
      <c r="B39" s="76"/>
      <c r="C39" s="76"/>
    </row>
    <row r="40" spans="1:5" x14ac:dyDescent="0.25">
      <c r="A40" s="7"/>
      <c r="B40" s="46" t="s">
        <v>488</v>
      </c>
      <c r="C40" s="47" t="s">
        <v>125</v>
      </c>
    </row>
    <row r="41" spans="1:5" x14ac:dyDescent="0.25">
      <c r="A41" s="75" t="s">
        <v>126</v>
      </c>
      <c r="B41" s="48">
        <f>$B37/$B38</f>
        <v>490471.78311283072</v>
      </c>
      <c r="C41" s="48">
        <f>$C37/$B38</f>
        <v>51941.462264961563</v>
      </c>
    </row>
    <row r="42" spans="1:5" x14ac:dyDescent="0.25">
      <c r="A42" s="75" t="s">
        <v>127</v>
      </c>
      <c r="B42" s="49">
        <f>($B34/$B37)*100</f>
        <v>33.2300743208611</v>
      </c>
      <c r="C42" s="49"/>
    </row>
    <row r="43" spans="1:5" x14ac:dyDescent="0.25">
      <c r="A43" s="75" t="s">
        <v>128</v>
      </c>
      <c r="B43" s="78">
        <f>B34/B38</f>
        <v>162984.13805124629</v>
      </c>
      <c r="C43" s="78">
        <f>C34/B38</f>
        <v>16571.259594345531</v>
      </c>
    </row>
    <row r="44" spans="1:5" x14ac:dyDescent="0.25">
      <c r="A44" s="75"/>
      <c r="B44" s="78"/>
      <c r="C44" s="78"/>
    </row>
    <row r="45" spans="1:5" x14ac:dyDescent="0.25">
      <c r="A45" s="335" t="s">
        <v>1057</v>
      </c>
      <c r="B45" s="78"/>
      <c r="C45" s="78"/>
    </row>
    <row r="46" spans="1:5" x14ac:dyDescent="0.25">
      <c r="A46" s="75"/>
      <c r="B46" s="78"/>
      <c r="C46" s="78"/>
    </row>
    <row r="47" spans="1:5" x14ac:dyDescent="0.25">
      <c r="A47" s="75"/>
      <c r="B47" s="79"/>
    </row>
    <row r="48" spans="1:5" x14ac:dyDescent="0.25">
      <c r="A48" s="75" t="s">
        <v>129</v>
      </c>
    </row>
    <row r="49" spans="1:5" ht="15.45" customHeight="1" x14ac:dyDescent="0.25">
      <c r="A49" s="188" t="s">
        <v>489</v>
      </c>
      <c r="B49" s="53"/>
      <c r="C49" s="53"/>
      <c r="D49" s="53"/>
      <c r="E49" s="53"/>
    </row>
    <row r="50" spans="1:5" s="70" customFormat="1" ht="15.45" customHeight="1" x14ac:dyDescent="0.3">
      <c r="A50" s="70" t="s">
        <v>490</v>
      </c>
      <c r="B50" s="53"/>
      <c r="C50" s="53"/>
      <c r="D50" s="53"/>
      <c r="E50" s="53"/>
    </row>
    <row r="52" spans="1:5" s="70" customFormat="1" x14ac:dyDescent="0.3">
      <c r="A52" s="75" t="s">
        <v>131</v>
      </c>
    </row>
    <row r="53" spans="1:5" s="70" customFormat="1" x14ac:dyDescent="0.25">
      <c r="A53" s="70" t="s">
        <v>491</v>
      </c>
      <c r="B53" s="37"/>
      <c r="C53" s="147"/>
      <c r="E53" s="37"/>
    </row>
    <row r="54" spans="1:5" s="70" customFormat="1" x14ac:dyDescent="0.25">
      <c r="A54" s="70" t="s">
        <v>492</v>
      </c>
      <c r="B54" s="37"/>
      <c r="C54" s="147"/>
      <c r="E54" s="37"/>
    </row>
    <row r="55" spans="1:5" s="70" customFormat="1" x14ac:dyDescent="0.25">
      <c r="A55" s="70" t="s">
        <v>493</v>
      </c>
      <c r="B55" s="37"/>
      <c r="C55" s="147"/>
      <c r="E55" s="37"/>
    </row>
    <row r="56" spans="1:5" s="70" customFormat="1" x14ac:dyDescent="0.25">
      <c r="A56" s="70" t="s">
        <v>494</v>
      </c>
      <c r="B56" s="37"/>
      <c r="C56" s="147"/>
      <c r="E56" s="37"/>
    </row>
    <row r="57" spans="1:5" s="70" customFormat="1" x14ac:dyDescent="0.3">
      <c r="A57" s="70" t="s">
        <v>495</v>
      </c>
      <c r="B57" s="33"/>
      <c r="C57" s="33"/>
      <c r="D57" s="33"/>
      <c r="E57" s="33"/>
    </row>
    <row r="58" spans="1:5" s="70" customFormat="1" x14ac:dyDescent="0.3">
      <c r="A58" s="7"/>
    </row>
    <row r="59" spans="1:5" s="70" customFormat="1" x14ac:dyDescent="0.3"/>
    <row r="60" spans="1:5" s="18" customFormat="1" x14ac:dyDescent="0.25">
      <c r="A60" s="364" t="s">
        <v>1060</v>
      </c>
      <c r="B60" s="364"/>
      <c r="C60" s="364"/>
      <c r="D60" s="364"/>
      <c r="E60" s="364"/>
    </row>
    <row r="61" spans="1:5" x14ac:dyDescent="0.25">
      <c r="A61" s="364"/>
      <c r="B61" s="364"/>
      <c r="C61" s="364"/>
      <c r="D61" s="364"/>
      <c r="E61" s="364"/>
    </row>
  </sheetData>
  <sheetProtection algorithmName="SHA-512" hashValue="yjb/IzYSM5U2jWcu+V36AJh7bnlc6OQToC0Mp9aaV03BqMMPiwbbwH688StrM8c53vRunihWs6UDXpYSHEKfAA==" saltValue="z7MaNV8OcO6S+3cxLnCtTw==" spinCount="100000" sheet="1" formatCells="0" formatColumns="0" formatRows="0" insertColumns="0" insertRows="0" insertHyperlinks="0" deleteColumns="0" deleteRows="0" sort="0" autoFilter="0" pivotTables="0"/>
  <mergeCells count="1">
    <mergeCell ref="A60:E61"/>
  </mergeCells>
  <hyperlinks>
    <hyperlink ref="A2" location="Index!H39" display="[Back to Index]" xr:uid="{A6CE7298-3F7F-4B7B-80B2-8AA32E36BCC2}"/>
  </hyperlinks>
  <pageMargins left="0.7" right="0.7" top="0.75" bottom="0.75" header="0.3" footer="0.3"/>
  <pageSetup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CDD94-1F56-4431-996C-9E73CB1902AE}">
  <sheetPr codeName="Sheet66">
    <tabColor rgb="FFBFDDAB"/>
  </sheetPr>
  <dimension ref="A1:E64"/>
  <sheetViews>
    <sheetView zoomScaleNormal="100" workbookViewId="0">
      <pane xSplit="1" ySplit="4" topLeftCell="B11"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2" width="40.88671875" style="70" bestFit="1" customWidth="1"/>
    <col min="3" max="3" width="27.6640625" style="70" customWidth="1"/>
    <col min="4" max="4" width="95.6640625" style="37" customWidth="1"/>
    <col min="5" max="5" width="40.6640625" style="70" customWidth="1"/>
    <col min="6" max="16384" width="8.77734375" style="37"/>
  </cols>
  <sheetData>
    <row r="1" spans="1:5" s="7" customFormat="1" ht="17.399999999999999" x14ac:dyDescent="0.25">
      <c r="A1" s="112" t="s">
        <v>53</v>
      </c>
      <c r="B1" s="2" t="s">
        <v>73</v>
      </c>
      <c r="C1" s="84">
        <v>320.8109</v>
      </c>
      <c r="D1" s="4" t="s">
        <v>1045</v>
      </c>
    </row>
    <row r="2" spans="1:5" s="7" customFormat="1" x14ac:dyDescent="0.25">
      <c r="A2" s="324" t="s">
        <v>74</v>
      </c>
      <c r="C2" s="84">
        <v>13.03346</v>
      </c>
      <c r="D2" s="4" t="s">
        <v>1046</v>
      </c>
    </row>
    <row r="3" spans="1:5" x14ac:dyDescent="0.25">
      <c r="A3" s="35"/>
      <c r="B3" s="176"/>
      <c r="C3" s="175"/>
    </row>
    <row r="4" spans="1:5" s="62" customFormat="1" x14ac:dyDescent="0.3">
      <c r="A4" s="9" t="s">
        <v>75</v>
      </c>
      <c r="B4" s="190" t="s">
        <v>496</v>
      </c>
      <c r="C4" s="157" t="s">
        <v>77</v>
      </c>
      <c r="D4" s="9" t="s">
        <v>400</v>
      </c>
      <c r="E4" s="9" t="s">
        <v>401</v>
      </c>
    </row>
    <row r="5" spans="1:5" s="63" customFormat="1" ht="60" x14ac:dyDescent="0.25">
      <c r="A5" s="22" t="s">
        <v>80</v>
      </c>
      <c r="B5" s="12">
        <f>SUM(B6:B7)</f>
        <v>24510841904.761906</v>
      </c>
      <c r="C5" s="12">
        <f>SUM(C6:C7)</f>
        <v>25600000000</v>
      </c>
      <c r="D5" s="13"/>
      <c r="E5" s="13"/>
    </row>
    <row r="6" spans="1:5" s="63" customFormat="1" ht="120" x14ac:dyDescent="0.25">
      <c r="A6" s="13" t="s">
        <v>81</v>
      </c>
      <c r="B6" s="12"/>
      <c r="C6" s="12"/>
      <c r="D6" s="13" t="s">
        <v>1091</v>
      </c>
      <c r="E6" s="13" t="s">
        <v>1092</v>
      </c>
    </row>
    <row r="7" spans="1:5" s="63" customFormat="1" ht="75" x14ac:dyDescent="0.25">
      <c r="A7" s="13" t="s">
        <v>84</v>
      </c>
      <c r="B7" s="16">
        <f>C7*B36</f>
        <v>24510841904.761906</v>
      </c>
      <c r="C7" s="16">
        <v>25600000000</v>
      </c>
      <c r="D7" s="13" t="s">
        <v>1093</v>
      </c>
      <c r="E7" s="13" t="s">
        <v>1094</v>
      </c>
    </row>
    <row r="8" spans="1:5" ht="30" x14ac:dyDescent="0.25">
      <c r="A8" s="22" t="s">
        <v>87</v>
      </c>
      <c r="B8" s="20">
        <f>SUM(B9:B11)</f>
        <v>40580000000</v>
      </c>
      <c r="C8" s="20">
        <f>SUM(C9:C11)</f>
        <v>42383203483.441963</v>
      </c>
      <c r="D8" s="13"/>
      <c r="E8" s="13"/>
    </row>
    <row r="9" spans="1:5" ht="60" x14ac:dyDescent="0.25">
      <c r="A9" s="13" t="s">
        <v>166</v>
      </c>
      <c r="B9" s="16"/>
      <c r="C9" s="16"/>
      <c r="D9" s="13"/>
      <c r="E9" s="13"/>
    </row>
    <row r="10" spans="1:5" ht="134.4" customHeight="1" x14ac:dyDescent="0.25">
      <c r="A10" s="13" t="s">
        <v>90</v>
      </c>
      <c r="B10" s="16"/>
      <c r="C10" s="16"/>
      <c r="D10" s="24" t="s">
        <v>497</v>
      </c>
      <c r="E10" s="13" t="s">
        <v>498</v>
      </c>
    </row>
    <row r="11" spans="1:5" ht="64.2" customHeight="1" x14ac:dyDescent="0.25">
      <c r="A11" s="13" t="s">
        <v>92</v>
      </c>
      <c r="B11" s="16">
        <f>(0.58+20+20)*10^9</f>
        <v>40580000000</v>
      </c>
      <c r="C11" s="16">
        <f>+B11/$B$36</f>
        <v>42383203483.441963</v>
      </c>
      <c r="D11" s="24" t="s">
        <v>499</v>
      </c>
      <c r="E11" s="13" t="s">
        <v>500</v>
      </c>
    </row>
    <row r="12" spans="1:5" ht="45" x14ac:dyDescent="0.25">
      <c r="A12" s="22" t="s">
        <v>93</v>
      </c>
      <c r="B12" s="12">
        <f>SUM(B13:B14)</f>
        <v>0</v>
      </c>
      <c r="C12" s="12">
        <f>SUM(C13:C14)</f>
        <v>0</v>
      </c>
      <c r="D12" s="13"/>
      <c r="E12" s="13"/>
    </row>
    <row r="13" spans="1:5" ht="45" x14ac:dyDescent="0.25">
      <c r="A13" s="13" t="s">
        <v>171</v>
      </c>
      <c r="B13" s="67"/>
      <c r="C13" s="67"/>
      <c r="D13" s="13"/>
      <c r="E13" s="13"/>
    </row>
    <row r="14" spans="1:5" ht="55.2" customHeight="1" x14ac:dyDescent="0.25">
      <c r="A14" s="13" t="s">
        <v>96</v>
      </c>
      <c r="B14" s="16"/>
      <c r="C14" s="16"/>
      <c r="D14" s="13" t="s">
        <v>501</v>
      </c>
      <c r="E14" s="13" t="s">
        <v>500</v>
      </c>
    </row>
    <row r="15" spans="1:5" ht="45" x14ac:dyDescent="0.25">
      <c r="A15" s="22" t="s">
        <v>97</v>
      </c>
      <c r="B15" s="16"/>
      <c r="C15" s="16"/>
      <c r="D15" s="13"/>
      <c r="E15" s="13"/>
    </row>
    <row r="16" spans="1:5" ht="30" x14ac:dyDescent="0.25">
      <c r="A16" s="22" t="s">
        <v>98</v>
      </c>
      <c r="B16" s="12">
        <f>SUM(B17:B18)</f>
        <v>22020000000.000004</v>
      </c>
      <c r="C16" s="12">
        <f>SUM(C17:C18)</f>
        <v>22998475621.128441</v>
      </c>
      <c r="D16" s="13"/>
      <c r="E16" s="13"/>
    </row>
    <row r="17" spans="1:5" x14ac:dyDescent="0.25">
      <c r="A17" s="13" t="s">
        <v>99</v>
      </c>
      <c r="B17" s="67"/>
      <c r="C17" s="67"/>
      <c r="D17" s="64"/>
      <c r="E17" s="13"/>
    </row>
    <row r="18" spans="1:5" ht="124.95" customHeight="1" x14ac:dyDescent="0.25">
      <c r="A18" s="13" t="s">
        <v>101</v>
      </c>
      <c r="B18" s="16">
        <f>+(8+1+0.42+12+0.6)*10^9</f>
        <v>22020000000.000004</v>
      </c>
      <c r="C18" s="16">
        <f>+B18/$B$36</f>
        <v>22998475621.128441</v>
      </c>
      <c r="D18" s="24" t="s">
        <v>502</v>
      </c>
      <c r="E18" s="13" t="s">
        <v>503</v>
      </c>
    </row>
    <row r="19" spans="1:5" ht="30" x14ac:dyDescent="0.25">
      <c r="A19" s="22" t="s">
        <v>103</v>
      </c>
      <c r="B19" s="16"/>
      <c r="C19" s="16"/>
      <c r="D19" s="13"/>
      <c r="E19" s="66"/>
    </row>
    <row r="20" spans="1:5" x14ac:dyDescent="0.25">
      <c r="A20" s="13" t="s">
        <v>104</v>
      </c>
      <c r="B20" s="16"/>
      <c r="C20" s="16"/>
      <c r="D20" s="13"/>
      <c r="E20" s="66"/>
    </row>
    <row r="21" spans="1:5" ht="30" x14ac:dyDescent="0.25">
      <c r="A21" s="22" t="s">
        <v>105</v>
      </c>
      <c r="B21" s="16">
        <f>SUM(B22,B24)</f>
        <v>0</v>
      </c>
      <c r="C21" s="16">
        <f>SUM(C22,C24)</f>
        <v>0</v>
      </c>
      <c r="D21" s="13"/>
      <c r="E21" s="13"/>
    </row>
    <row r="22" spans="1:5" x14ac:dyDescent="0.25">
      <c r="A22" s="22" t="s">
        <v>108</v>
      </c>
      <c r="B22" s="16"/>
      <c r="C22" s="16"/>
      <c r="D22" s="13"/>
      <c r="E22" s="13"/>
    </row>
    <row r="23" spans="1:5" x14ac:dyDescent="0.25">
      <c r="A23" s="13" t="s">
        <v>109</v>
      </c>
      <c r="B23" s="16"/>
      <c r="C23" s="16"/>
      <c r="D23" s="13"/>
      <c r="E23" s="13"/>
    </row>
    <row r="24" spans="1:5" x14ac:dyDescent="0.25">
      <c r="A24" s="22" t="s">
        <v>110</v>
      </c>
      <c r="B24" s="67"/>
      <c r="C24" s="67"/>
      <c r="D24" s="24"/>
      <c r="E24" s="13"/>
    </row>
    <row r="25" spans="1:5" x14ac:dyDescent="0.25">
      <c r="A25" s="13" t="s">
        <v>109</v>
      </c>
      <c r="B25" s="16"/>
      <c r="C25" s="67"/>
      <c r="D25" s="13"/>
      <c r="E25" s="13"/>
    </row>
    <row r="26" spans="1:5" x14ac:dyDescent="0.25">
      <c r="A26" s="22" t="s">
        <v>111</v>
      </c>
      <c r="B26" s="12">
        <f>SUM(B27:B29)</f>
        <v>55802962078.571426</v>
      </c>
      <c r="C26" s="12">
        <f>SUM(C27:C29)</f>
        <v>58282609579.962746</v>
      </c>
      <c r="D26" s="13"/>
      <c r="E26" s="13"/>
    </row>
    <row r="27" spans="1:5" ht="105.45" customHeight="1" x14ac:dyDescent="0.25">
      <c r="A27" s="13" t="s">
        <v>112</v>
      </c>
      <c r="B27" s="19">
        <f>+C27*B36</f>
        <v>10802962078.57143</v>
      </c>
      <c r="C27" s="19">
        <f>11.283*10^9</f>
        <v>11283000000</v>
      </c>
      <c r="D27" s="13" t="s">
        <v>504</v>
      </c>
      <c r="E27" s="13" t="s">
        <v>505</v>
      </c>
    </row>
    <row r="28" spans="1:5" ht="53.55" customHeight="1" x14ac:dyDescent="0.25">
      <c r="A28" s="13" t="s">
        <v>115</v>
      </c>
      <c r="B28" s="16">
        <v>45000000000</v>
      </c>
      <c r="C28" s="16">
        <f>+B28/$B$36</f>
        <v>46999609579.962746</v>
      </c>
      <c r="D28" s="13" t="s">
        <v>506</v>
      </c>
      <c r="E28" s="13" t="s">
        <v>500</v>
      </c>
    </row>
    <row r="29" spans="1:5" x14ac:dyDescent="0.25">
      <c r="A29" s="13" t="s">
        <v>116</v>
      </c>
      <c r="B29" s="16">
        <f>SUM(B30:B31)</f>
        <v>0</v>
      </c>
      <c r="C29" s="16">
        <f>SUM(C30:C31)</f>
        <v>0</v>
      </c>
      <c r="D29" s="13"/>
      <c r="E29" s="13"/>
    </row>
    <row r="30" spans="1:5" x14ac:dyDescent="0.25">
      <c r="A30" s="25" t="s">
        <v>117</v>
      </c>
      <c r="B30" s="26"/>
      <c r="C30" s="26"/>
      <c r="D30" s="28"/>
      <c r="E30" s="28"/>
    </row>
    <row r="31" spans="1:5" x14ac:dyDescent="0.25">
      <c r="A31" s="25" t="s">
        <v>118</v>
      </c>
      <c r="B31" s="26"/>
      <c r="C31" s="26"/>
      <c r="D31" s="25"/>
      <c r="E31" s="25"/>
    </row>
    <row r="32" spans="1:5" x14ac:dyDescent="0.25">
      <c r="A32" s="22" t="s">
        <v>119</v>
      </c>
      <c r="B32" s="12"/>
      <c r="C32" s="12"/>
      <c r="D32" s="13"/>
      <c r="E32" s="13"/>
    </row>
    <row r="33" spans="1:5" x14ac:dyDescent="0.25">
      <c r="A33" s="35"/>
      <c r="B33" s="176"/>
      <c r="C33" s="176"/>
      <c r="D33" s="33"/>
      <c r="E33" s="33"/>
    </row>
    <row r="34" spans="1:5" x14ac:dyDescent="0.25">
      <c r="A34" s="35" t="s">
        <v>120</v>
      </c>
      <c r="B34" s="71">
        <f>SUM(B5,B8,B12,B15,B16)+B32</f>
        <v>87110841904.761902</v>
      </c>
      <c r="C34" s="71">
        <f>SUM(C5,C8,C12,C15,C16)+C32</f>
        <v>90981679104.570404</v>
      </c>
    </row>
    <row r="35" spans="1:5" x14ac:dyDescent="0.25">
      <c r="A35" s="35"/>
      <c r="B35" s="71"/>
      <c r="C35" s="72"/>
    </row>
    <row r="36" spans="1:5" x14ac:dyDescent="0.25">
      <c r="A36" s="35" t="s">
        <v>121</v>
      </c>
      <c r="B36" s="49">
        <v>0.95745476190476198</v>
      </c>
      <c r="C36" s="74"/>
    </row>
    <row r="37" spans="1:5" x14ac:dyDescent="0.25">
      <c r="A37" s="75" t="s">
        <v>122</v>
      </c>
      <c r="B37" s="77">
        <v>707438000000</v>
      </c>
      <c r="C37" s="77">
        <v>715360000000</v>
      </c>
    </row>
    <row r="38" spans="1:5" x14ac:dyDescent="0.25">
      <c r="A38" s="75" t="s">
        <v>123</v>
      </c>
      <c r="B38" s="77">
        <v>8516543</v>
      </c>
      <c r="C38" s="162"/>
    </row>
    <row r="39" spans="1:5" x14ac:dyDescent="0.25">
      <c r="A39" s="75"/>
      <c r="B39" s="76"/>
      <c r="C39" s="76"/>
    </row>
    <row r="40" spans="1:5" x14ac:dyDescent="0.25">
      <c r="A40" s="7"/>
      <c r="B40" s="191" t="s">
        <v>507</v>
      </c>
      <c r="C40" s="47" t="s">
        <v>125</v>
      </c>
    </row>
    <row r="41" spans="1:5" x14ac:dyDescent="0.25">
      <c r="A41" s="75" t="s">
        <v>126</v>
      </c>
      <c r="B41" s="48">
        <f>$B37/$B38</f>
        <v>83066.333370241889</v>
      </c>
      <c r="C41" s="48">
        <f>$C37/$B38</f>
        <v>83996.523002349655</v>
      </c>
    </row>
    <row r="42" spans="1:5" x14ac:dyDescent="0.25">
      <c r="A42" s="75" t="s">
        <v>127</v>
      </c>
      <c r="B42" s="49">
        <f>($B34/$B37)*100</f>
        <v>12.313565556948015</v>
      </c>
      <c r="C42" s="49"/>
    </row>
    <row r="43" spans="1:5" x14ac:dyDescent="0.25">
      <c r="A43" s="75" t="s">
        <v>128</v>
      </c>
      <c r="B43" s="78">
        <f>B34/B38</f>
        <v>10228.427415297721</v>
      </c>
      <c r="C43" s="78">
        <f>C34/B38</f>
        <v>10682.935447466232</v>
      </c>
    </row>
    <row r="44" spans="1:5" x14ac:dyDescent="0.25">
      <c r="A44" s="75"/>
      <c r="B44" s="78"/>
      <c r="C44" s="78"/>
    </row>
    <row r="45" spans="1:5" x14ac:dyDescent="0.25">
      <c r="A45" s="335" t="s">
        <v>1057</v>
      </c>
      <c r="B45" s="78"/>
      <c r="C45" s="78"/>
    </row>
    <row r="46" spans="1:5" x14ac:dyDescent="0.25">
      <c r="A46" s="75"/>
      <c r="B46" s="78"/>
      <c r="C46" s="78"/>
    </row>
    <row r="47" spans="1:5" x14ac:dyDescent="0.25">
      <c r="A47" s="75"/>
      <c r="B47" s="79"/>
    </row>
    <row r="48" spans="1:5" x14ac:dyDescent="0.25">
      <c r="A48" s="75" t="s">
        <v>129</v>
      </c>
    </row>
    <row r="49" spans="1:5" ht="15.45" customHeight="1" x14ac:dyDescent="0.25">
      <c r="A49" s="52" t="s">
        <v>508</v>
      </c>
      <c r="B49" s="53"/>
      <c r="C49" s="53"/>
      <c r="D49" s="53"/>
      <c r="E49" s="53"/>
    </row>
    <row r="50" spans="1:5" ht="15.45" customHeight="1" x14ac:dyDescent="0.25">
      <c r="A50" s="52" t="s">
        <v>509</v>
      </c>
      <c r="B50" s="53"/>
      <c r="C50" s="53"/>
      <c r="D50" s="53"/>
      <c r="E50" s="53"/>
    </row>
    <row r="51" spans="1:5" ht="15.45" customHeight="1" x14ac:dyDescent="0.25">
      <c r="A51" s="70" t="s">
        <v>510</v>
      </c>
      <c r="B51" s="53"/>
      <c r="C51" s="53"/>
      <c r="D51" s="53"/>
      <c r="E51" s="53"/>
    </row>
    <row r="53" spans="1:5" x14ac:dyDescent="0.25">
      <c r="A53" s="75" t="s">
        <v>131</v>
      </c>
    </row>
    <row r="54" spans="1:5" s="70" customFormat="1" x14ac:dyDescent="0.25">
      <c r="A54" s="54" t="s">
        <v>511</v>
      </c>
      <c r="C54" s="147"/>
      <c r="D54" s="37"/>
      <c r="E54" s="37"/>
    </row>
    <row r="55" spans="1:5" s="70" customFormat="1" x14ac:dyDescent="0.25">
      <c r="A55" s="37" t="s">
        <v>512</v>
      </c>
      <c r="C55" s="147"/>
      <c r="D55" s="37"/>
      <c r="E55" s="37"/>
    </row>
    <row r="56" spans="1:5" s="70" customFormat="1" x14ac:dyDescent="0.25">
      <c r="A56" s="37" t="s">
        <v>513</v>
      </c>
      <c r="C56" s="147"/>
      <c r="D56" s="37"/>
      <c r="E56" s="37"/>
    </row>
    <row r="57" spans="1:5" s="70" customFormat="1" x14ac:dyDescent="0.3">
      <c r="A57" s="70" t="s">
        <v>514</v>
      </c>
      <c r="B57" s="33"/>
      <c r="C57" s="33"/>
      <c r="D57" s="33"/>
      <c r="E57" s="33"/>
    </row>
    <row r="58" spans="1:5" s="70" customFormat="1" x14ac:dyDescent="0.25">
      <c r="A58" s="7" t="s">
        <v>515</v>
      </c>
      <c r="D58" s="37"/>
    </row>
    <row r="59" spans="1:5" s="70" customFormat="1" x14ac:dyDescent="0.25">
      <c r="A59" s="7" t="s">
        <v>516</v>
      </c>
      <c r="D59" s="37"/>
    </row>
    <row r="60" spans="1:5" s="70" customFormat="1" x14ac:dyDescent="0.25">
      <c r="A60" s="70" t="s">
        <v>517</v>
      </c>
      <c r="D60" s="37"/>
    </row>
    <row r="61" spans="1:5" s="70" customFormat="1" x14ac:dyDescent="0.25">
      <c r="A61" s="7"/>
      <c r="D61" s="37"/>
    </row>
    <row r="62" spans="1:5" s="70" customFormat="1" x14ac:dyDescent="0.25">
      <c r="A62" s="7"/>
      <c r="D62" s="37"/>
    </row>
    <row r="63" spans="1:5" x14ac:dyDescent="0.25">
      <c r="A63" s="367" t="s">
        <v>1060</v>
      </c>
      <c r="B63" s="367"/>
      <c r="C63" s="367"/>
      <c r="D63" s="367"/>
      <c r="E63" s="367"/>
    </row>
    <row r="64" spans="1:5" x14ac:dyDescent="0.25">
      <c r="A64" s="367"/>
      <c r="B64" s="367"/>
      <c r="C64" s="367"/>
      <c r="D64" s="367"/>
      <c r="E64" s="367"/>
    </row>
  </sheetData>
  <sheetProtection algorithmName="SHA-512" hashValue="Jo2U8E5PHsyPA7eEL4sYhjKPit1ZG3yGEY3fAk0BnUvmzI7/zdE53wiOWv5vhcsxiX1pdjxjybU5tu3nygmBwQ==" saltValue="rUrDix5y/D3REDh7OrRXwg==" spinCount="100000" sheet="1" formatCells="0" formatColumns="0" formatRows="0" insertColumns="0" insertRows="0" insertHyperlinks="0" deleteColumns="0" deleteRows="0" sort="0" autoFilter="0" pivotTables="0"/>
  <mergeCells count="1">
    <mergeCell ref="A63:E64"/>
  </mergeCells>
  <hyperlinks>
    <hyperlink ref="A2" location="Index!H40" display="[Back to Index]" xr:uid="{0C389FAB-6731-4EDC-B2F9-C4641A85EC19}"/>
  </hyperlinks>
  <pageMargins left="0.7" right="0.7" top="0.75" bottom="0.75" header="0.3" footer="0.3"/>
  <pageSetup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A911-2261-4BB3-BF84-F746DCA2AF1C}">
  <sheetPr codeName="Sheet67">
    <tabColor rgb="FFBFDDAB"/>
  </sheetPr>
  <dimension ref="A1:E68"/>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6640625" style="38" customWidth="1"/>
    <col min="4" max="4" width="95.6640625" style="37" customWidth="1"/>
    <col min="5" max="5" width="40.6640625" style="38" customWidth="1"/>
    <col min="6" max="16384" width="8.77734375" style="18"/>
  </cols>
  <sheetData>
    <row r="1" spans="1:5" s="5" customFormat="1" ht="17.399999999999999" x14ac:dyDescent="0.25">
      <c r="A1" s="112" t="s">
        <v>56</v>
      </c>
      <c r="B1" s="2" t="s">
        <v>234</v>
      </c>
      <c r="C1" s="84">
        <v>100.01130000000001</v>
      </c>
      <c r="D1" s="4" t="s">
        <v>1045</v>
      </c>
    </row>
    <row r="2" spans="1:5" s="5" customFormat="1" x14ac:dyDescent="0.25">
      <c r="A2" s="324" t="s">
        <v>74</v>
      </c>
      <c r="C2" s="84">
        <v>2.2959260000000001</v>
      </c>
      <c r="D2" s="4" t="s">
        <v>1046</v>
      </c>
    </row>
    <row r="3" spans="1:5" x14ac:dyDescent="0.25">
      <c r="A3" s="154"/>
      <c r="B3" s="222"/>
      <c r="C3" s="142"/>
    </row>
    <row r="4" spans="1:5" s="10" customFormat="1" x14ac:dyDescent="0.3">
      <c r="A4" s="8" t="s">
        <v>75</v>
      </c>
      <c r="B4" s="9" t="s">
        <v>986</v>
      </c>
      <c r="C4" s="9" t="s">
        <v>77</v>
      </c>
      <c r="D4" s="9" t="s">
        <v>78</v>
      </c>
      <c r="E4" s="8" t="s">
        <v>79</v>
      </c>
    </row>
    <row r="5" spans="1:5" s="15" customFormat="1" ht="60" x14ac:dyDescent="0.25">
      <c r="A5" s="11" t="s">
        <v>80</v>
      </c>
      <c r="B5" s="16">
        <f>SUM(B6:B7)</f>
        <v>0</v>
      </c>
      <c r="C5" s="16">
        <f>SUM(C6:C7)</f>
        <v>0</v>
      </c>
      <c r="D5" s="13"/>
      <c r="E5" s="14"/>
    </row>
    <row r="6" spans="1:5" s="15" customFormat="1" ht="45" x14ac:dyDescent="0.25">
      <c r="A6" s="14" t="s">
        <v>81</v>
      </c>
      <c r="B6" s="16"/>
      <c r="C6" s="16"/>
      <c r="E6" s="14"/>
    </row>
    <row r="7" spans="1:5" s="15" customFormat="1" ht="48.6" customHeight="1" x14ac:dyDescent="0.25">
      <c r="A7" s="14" t="s">
        <v>84</v>
      </c>
      <c r="B7" s="17"/>
      <c r="C7" s="17"/>
      <c r="D7" s="13" t="s">
        <v>987</v>
      </c>
      <c r="E7" s="260" t="s">
        <v>846</v>
      </c>
    </row>
    <row r="8" spans="1:5" ht="30" x14ac:dyDescent="0.25">
      <c r="A8" s="11" t="s">
        <v>87</v>
      </c>
      <c r="B8" s="12">
        <f>SUM(B9:B11)</f>
        <v>25000000000</v>
      </c>
      <c r="C8" s="12">
        <f>SUM(C9:C11)</f>
        <v>4131706257.9107938</v>
      </c>
      <c r="D8" s="13"/>
      <c r="E8" s="14"/>
    </row>
    <row r="9" spans="1:5" ht="60" x14ac:dyDescent="0.25">
      <c r="A9" s="14" t="s">
        <v>88</v>
      </c>
      <c r="B9" s="16"/>
      <c r="C9" s="16"/>
      <c r="D9" s="56"/>
      <c r="E9" s="14"/>
    </row>
    <row r="10" spans="1:5" ht="45" x14ac:dyDescent="0.25">
      <c r="A10" s="14" t="s">
        <v>90</v>
      </c>
      <c r="B10" s="16"/>
      <c r="C10" s="16"/>
      <c r="D10" s="24" t="s">
        <v>988</v>
      </c>
      <c r="E10" s="260" t="s">
        <v>846</v>
      </c>
    </row>
    <row r="11" spans="1:5" ht="45" x14ac:dyDescent="0.25">
      <c r="A11" s="14" t="s">
        <v>92</v>
      </c>
      <c r="B11" s="16">
        <f>25*10^9</f>
        <v>25000000000</v>
      </c>
      <c r="C11" s="16">
        <f>B11/B36</f>
        <v>4131706257.9107938</v>
      </c>
      <c r="D11" s="13" t="s">
        <v>989</v>
      </c>
      <c r="E11" s="260" t="s">
        <v>846</v>
      </c>
    </row>
    <row r="12" spans="1:5" ht="45" x14ac:dyDescent="0.25">
      <c r="A12" s="11" t="s">
        <v>93</v>
      </c>
      <c r="B12" s="16">
        <f>SUM(B13:B14)</f>
        <v>0</v>
      </c>
      <c r="C12" s="16">
        <f>SUM(C13:C14)</f>
        <v>0</v>
      </c>
      <c r="D12" s="13"/>
      <c r="E12" s="14"/>
    </row>
    <row r="13" spans="1:5" ht="45" x14ac:dyDescent="0.25">
      <c r="A13" s="14" t="s">
        <v>94</v>
      </c>
      <c r="B13" s="23"/>
      <c r="C13" s="23"/>
      <c r="D13" s="13"/>
      <c r="E13" s="14"/>
    </row>
    <row r="14" spans="1:5" ht="75" x14ac:dyDescent="0.25">
      <c r="A14" s="14" t="s">
        <v>96</v>
      </c>
      <c r="B14" s="16"/>
      <c r="C14" s="16"/>
      <c r="D14" s="13" t="s">
        <v>990</v>
      </c>
      <c r="E14" s="260" t="s">
        <v>846</v>
      </c>
    </row>
    <row r="15" spans="1:5" ht="45" x14ac:dyDescent="0.25">
      <c r="A15" s="11" t="s">
        <v>97</v>
      </c>
      <c r="B15" s="12">
        <v>0</v>
      </c>
      <c r="C15" s="12">
        <v>0</v>
      </c>
      <c r="D15" s="13"/>
      <c r="E15" s="14"/>
    </row>
    <row r="16" spans="1:5" ht="30" x14ac:dyDescent="0.25">
      <c r="A16" s="11" t="s">
        <v>98</v>
      </c>
      <c r="B16" s="12">
        <f>SUM(B17:B18)</f>
        <v>75000000000</v>
      </c>
      <c r="C16" s="12">
        <f>SUM(C17:C18)</f>
        <v>12395118773.732382</v>
      </c>
      <c r="D16" s="13"/>
      <c r="E16" s="14"/>
    </row>
    <row r="17" spans="1:5" x14ac:dyDescent="0.25">
      <c r="A17" s="13" t="s">
        <v>99</v>
      </c>
      <c r="B17" s="23"/>
      <c r="C17" s="23"/>
      <c r="D17" s="57"/>
      <c r="E17" s="14"/>
    </row>
    <row r="18" spans="1:5" ht="75" x14ac:dyDescent="0.25">
      <c r="A18" s="13" t="s">
        <v>101</v>
      </c>
      <c r="B18" s="16">
        <f>75*10^9</f>
        <v>75000000000</v>
      </c>
      <c r="C18" s="16">
        <f>B18/B36</f>
        <v>12395118773.732382</v>
      </c>
      <c r="D18" s="13" t="s">
        <v>991</v>
      </c>
      <c r="E18" s="260" t="s">
        <v>846</v>
      </c>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6">
        <f>SUM(B22,B24)</f>
        <v>0</v>
      </c>
      <c r="C21" s="16">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6">
        <f>SUM(B27:B29)</f>
        <v>0</v>
      </c>
      <c r="C26" s="16">
        <f>SUM(C27:C29)</f>
        <v>0</v>
      </c>
      <c r="D26" s="13"/>
      <c r="E26" s="14"/>
    </row>
    <row r="27" spans="1:5" x14ac:dyDescent="0.25">
      <c r="A27" s="13" t="s">
        <v>112</v>
      </c>
      <c r="B27" s="16"/>
      <c r="C27" s="16"/>
      <c r="D27" s="13"/>
      <c r="E27" s="14"/>
    </row>
    <row r="28" spans="1:5" x14ac:dyDescent="0.25">
      <c r="A28" s="13" t="s">
        <v>115</v>
      </c>
      <c r="B28" s="16"/>
      <c r="C28" s="16"/>
      <c r="D28" s="13"/>
      <c r="E28" s="13"/>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x14ac:dyDescent="0.25">
      <c r="A32" s="11" t="s">
        <v>119</v>
      </c>
      <c r="B32" s="12">
        <v>0</v>
      </c>
      <c r="C32" s="12">
        <v>0</v>
      </c>
      <c r="D32" s="56"/>
      <c r="E32" s="14"/>
    </row>
    <row r="33" spans="1:5" x14ac:dyDescent="0.25">
      <c r="A33" s="31"/>
      <c r="B33" s="120"/>
      <c r="C33" s="120"/>
      <c r="D33" s="33"/>
      <c r="E33" s="34"/>
    </row>
    <row r="34" spans="1:5" x14ac:dyDescent="0.25">
      <c r="A34" s="35" t="s">
        <v>120</v>
      </c>
      <c r="B34" s="265">
        <f>(SUM(B5,B8,B12,B15,B16,B32))</f>
        <v>100000000000</v>
      </c>
      <c r="C34" s="265">
        <f>(SUM(C5,C8,C12,C15,C16,C32))</f>
        <v>16526825031.643175</v>
      </c>
    </row>
    <row r="35" spans="1:5" x14ac:dyDescent="0.25">
      <c r="A35" s="31"/>
      <c r="B35" s="39"/>
      <c r="C35" s="40"/>
    </row>
    <row r="36" spans="1:5" x14ac:dyDescent="0.25">
      <c r="A36" s="31" t="s">
        <v>863</v>
      </c>
      <c r="B36" s="268">
        <v>6.0507689655172401</v>
      </c>
      <c r="C36" s="42"/>
    </row>
    <row r="37" spans="1:5" x14ac:dyDescent="0.25">
      <c r="A37" s="43" t="s">
        <v>122</v>
      </c>
      <c r="B37" s="269">
        <v>4272530000000</v>
      </c>
      <c r="C37" s="269">
        <v>743708000000</v>
      </c>
    </row>
    <row r="38" spans="1:5" x14ac:dyDescent="0.25">
      <c r="A38" s="43" t="s">
        <v>123</v>
      </c>
      <c r="B38" s="269">
        <v>82319724</v>
      </c>
      <c r="C38" s="152"/>
    </row>
    <row r="39" spans="1:5" x14ac:dyDescent="0.25">
      <c r="A39" s="43"/>
      <c r="B39" s="44"/>
      <c r="C39" s="44"/>
    </row>
    <row r="40" spans="1:5" x14ac:dyDescent="0.25">
      <c r="A40" s="5"/>
      <c r="B40" s="46" t="s">
        <v>992</v>
      </c>
      <c r="C40" s="47" t="s">
        <v>125</v>
      </c>
    </row>
    <row r="41" spans="1:5" x14ac:dyDescent="0.25">
      <c r="A41" s="43" t="s">
        <v>126</v>
      </c>
      <c r="B41" s="269">
        <f>$B37/$B38</f>
        <v>51901.656035678643</v>
      </c>
      <c r="C41" s="269">
        <f>$C37/$B38</f>
        <v>9034.384031705451</v>
      </c>
    </row>
    <row r="42" spans="1:5" x14ac:dyDescent="0.25">
      <c r="A42" s="43" t="s">
        <v>127</v>
      </c>
      <c r="B42" s="268">
        <f>($B34/$B37)*100</f>
        <v>2.3405335948489538</v>
      </c>
      <c r="C42" s="96"/>
    </row>
    <row r="43" spans="1:5" x14ac:dyDescent="0.25">
      <c r="A43" s="43" t="s">
        <v>128</v>
      </c>
      <c r="B43" s="268">
        <f>B34/B38</f>
        <v>1214.7756957980082</v>
      </c>
      <c r="C43" s="268">
        <f>C34/B38</f>
        <v>200.76385377146278</v>
      </c>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ht="15.45" customHeight="1" x14ac:dyDescent="0.25">
      <c r="A49" s="277" t="s">
        <v>130</v>
      </c>
      <c r="B49" s="53"/>
      <c r="C49" s="53"/>
      <c r="D49" s="53"/>
      <c r="E49" s="53"/>
    </row>
    <row r="50" spans="1:5" ht="15.45" customHeight="1" x14ac:dyDescent="0.25">
      <c r="A50" s="53"/>
      <c r="B50" s="53"/>
      <c r="C50" s="53"/>
      <c r="D50" s="53"/>
      <c r="E50" s="53"/>
    </row>
    <row r="51" spans="1:5" x14ac:dyDescent="0.25">
      <c r="A51" s="43" t="s">
        <v>131</v>
      </c>
    </row>
    <row r="52" spans="1:5" s="38" customFormat="1" x14ac:dyDescent="0.3">
      <c r="A52" s="369" t="s">
        <v>993</v>
      </c>
      <c r="B52" s="369"/>
      <c r="C52" s="369"/>
      <c r="D52" s="369"/>
      <c r="E52" s="369"/>
    </row>
    <row r="53" spans="1:5" s="38" customFormat="1" x14ac:dyDescent="0.3">
      <c r="A53" s="369"/>
      <c r="B53" s="369"/>
      <c r="C53" s="369"/>
      <c r="D53" s="369"/>
      <c r="E53" s="369"/>
    </row>
    <row r="54" spans="1:5" s="38" customFormat="1" x14ac:dyDescent="0.3">
      <c r="A54" s="369"/>
      <c r="B54" s="369"/>
      <c r="C54" s="369"/>
      <c r="D54" s="369"/>
      <c r="E54" s="369"/>
    </row>
    <row r="55" spans="1:5" s="38" customFormat="1" x14ac:dyDescent="0.3">
      <c r="A55" s="369"/>
      <c r="B55" s="369"/>
      <c r="C55" s="369"/>
      <c r="D55" s="369"/>
      <c r="E55" s="369"/>
    </row>
    <row r="56" spans="1:5" s="38" customFormat="1" x14ac:dyDescent="0.3">
      <c r="A56" s="364" t="s">
        <v>994</v>
      </c>
      <c r="B56" s="364"/>
      <c r="C56" s="364"/>
      <c r="D56" s="364"/>
      <c r="E56" s="364"/>
    </row>
    <row r="57" spans="1:5" s="38" customFormat="1" x14ac:dyDescent="0.3">
      <c r="A57" s="364"/>
      <c r="B57" s="364"/>
      <c r="C57" s="364"/>
      <c r="D57" s="364"/>
      <c r="E57" s="364"/>
    </row>
    <row r="58" spans="1:5" s="38" customFormat="1" x14ac:dyDescent="0.3">
      <c r="A58" s="364"/>
      <c r="B58" s="364"/>
      <c r="C58" s="364"/>
      <c r="D58" s="364"/>
      <c r="E58" s="364"/>
    </row>
    <row r="59" spans="1:5" s="38" customFormat="1" x14ac:dyDescent="0.3">
      <c r="A59" s="364" t="s">
        <v>995</v>
      </c>
      <c r="B59" s="364"/>
      <c r="C59" s="364"/>
      <c r="D59" s="364"/>
      <c r="E59" s="364"/>
    </row>
    <row r="60" spans="1:5" x14ac:dyDescent="0.25">
      <c r="A60" s="364"/>
      <c r="B60" s="364"/>
      <c r="C60" s="364"/>
      <c r="D60" s="364"/>
      <c r="E60" s="364"/>
    </row>
    <row r="61" spans="1:5" x14ac:dyDescent="0.25">
      <c r="A61" s="364" t="s">
        <v>996</v>
      </c>
      <c r="B61" s="364"/>
      <c r="C61" s="364"/>
      <c r="D61" s="364"/>
      <c r="E61" s="364"/>
    </row>
    <row r="62" spans="1:5" x14ac:dyDescent="0.25">
      <c r="A62" s="364"/>
      <c r="B62" s="364"/>
      <c r="C62" s="364"/>
      <c r="D62" s="364"/>
      <c r="E62" s="364"/>
    </row>
    <row r="63" spans="1:5" x14ac:dyDescent="0.25">
      <c r="A63" s="364"/>
      <c r="B63" s="364"/>
      <c r="C63" s="364"/>
      <c r="D63" s="364"/>
      <c r="E63" s="364"/>
    </row>
    <row r="64" spans="1:5" x14ac:dyDescent="0.25">
      <c r="A64" s="37" t="s">
        <v>957</v>
      </c>
    </row>
    <row r="67" spans="1:5" x14ac:dyDescent="0.25">
      <c r="A67" s="364" t="s">
        <v>1062</v>
      </c>
      <c r="B67" s="364"/>
      <c r="C67" s="364"/>
      <c r="D67" s="364"/>
      <c r="E67" s="364"/>
    </row>
    <row r="68" spans="1:5" x14ac:dyDescent="0.25">
      <c r="A68" s="364"/>
      <c r="B68" s="364"/>
      <c r="C68" s="364"/>
      <c r="D68" s="364"/>
      <c r="E68" s="364"/>
    </row>
  </sheetData>
  <sheetProtection algorithmName="SHA-512" hashValue="DBnPRLnT26/iYYwNNS8SchyMuKv0WQd2pxL7azO/wPkLp+sglIrT3OA44rWdXH9G/IZ/cfGHDrKzrmgPChgFWQ==" saltValue="4V4h1b43OuIdNidz+nc3EQ==" spinCount="100000" sheet="1" formatCells="0" formatColumns="0" formatRows="0" insertColumns="0" insertRows="0" insertHyperlinks="0" deleteColumns="0" deleteRows="0" sort="0" autoFilter="0" pivotTables="0"/>
  <mergeCells count="5">
    <mergeCell ref="A52:E55"/>
    <mergeCell ref="A56:E58"/>
    <mergeCell ref="A59:E60"/>
    <mergeCell ref="A61:E63"/>
    <mergeCell ref="A67:E68"/>
  </mergeCells>
  <hyperlinks>
    <hyperlink ref="A2" location="Index!H41" display="[Back to Index]" xr:uid="{EEC86438-11DB-47BA-BE0F-B2383DD60E4A}"/>
  </hyperlinks>
  <pageMargins left="0.7" right="0.7" top="0.75" bottom="0.75" header="0.3" footer="0.3"/>
  <pageSetup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E2DA-5633-476D-9509-F3163B41B198}">
  <sheetPr codeName="Sheet68">
    <tabColor rgb="FFBFDDAB"/>
  </sheetPr>
  <dimension ref="A1:J61"/>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2" width="27.5546875" style="70" customWidth="1"/>
    <col min="3" max="3" width="27.6640625" style="70" customWidth="1"/>
    <col min="4" max="4" width="95.6640625" style="70" customWidth="1"/>
    <col min="5" max="5" width="40.6640625" style="70" customWidth="1"/>
    <col min="6" max="16384" width="8.77734375" style="37"/>
  </cols>
  <sheetData>
    <row r="1" spans="1:10" s="7" customFormat="1" ht="17.399999999999999" x14ac:dyDescent="0.25">
      <c r="A1" s="112" t="s">
        <v>59</v>
      </c>
      <c r="B1" s="2" t="s">
        <v>73</v>
      </c>
      <c r="C1" s="84">
        <v>171.7833</v>
      </c>
      <c r="D1" s="4" t="s">
        <v>1045</v>
      </c>
      <c r="F1" s="37"/>
      <c r="G1" s="37"/>
      <c r="H1" s="37"/>
      <c r="I1" s="37"/>
      <c r="J1" s="37"/>
    </row>
    <row r="2" spans="1:10" s="7" customFormat="1" x14ac:dyDescent="0.25">
      <c r="A2" s="324" t="s">
        <v>74</v>
      </c>
      <c r="C2" s="84">
        <v>23.257989999999999</v>
      </c>
      <c r="D2" s="4" t="s">
        <v>1046</v>
      </c>
      <c r="F2" s="37"/>
      <c r="G2" s="37"/>
      <c r="H2" s="37"/>
      <c r="I2" s="37"/>
      <c r="J2" s="37"/>
    </row>
    <row r="3" spans="1:10" x14ac:dyDescent="0.25">
      <c r="A3" s="35"/>
      <c r="B3" s="174"/>
      <c r="C3" s="175"/>
    </row>
    <row r="4" spans="1:10" s="62" customFormat="1" x14ac:dyDescent="0.25">
      <c r="A4" s="9" t="s">
        <v>75</v>
      </c>
      <c r="B4" s="9" t="s">
        <v>518</v>
      </c>
      <c r="C4" s="9" t="s">
        <v>77</v>
      </c>
      <c r="D4" s="115" t="s">
        <v>78</v>
      </c>
      <c r="E4" s="9" t="s">
        <v>79</v>
      </c>
      <c r="F4" s="37"/>
      <c r="G4" s="37"/>
      <c r="H4" s="37"/>
      <c r="I4" s="37"/>
      <c r="J4" s="37"/>
    </row>
    <row r="5" spans="1:10" s="63" customFormat="1" ht="60" x14ac:dyDescent="0.25">
      <c r="A5" s="22" t="s">
        <v>80</v>
      </c>
      <c r="B5" s="12">
        <f>SUM(B6:B7)</f>
        <v>0</v>
      </c>
      <c r="C5" s="12">
        <f>SUM(C6:C7)</f>
        <v>0</v>
      </c>
      <c r="D5" s="13"/>
      <c r="E5" s="13"/>
      <c r="F5" s="37"/>
      <c r="G5" s="37"/>
      <c r="H5" s="37"/>
      <c r="I5" s="37"/>
      <c r="J5" s="37"/>
    </row>
    <row r="6" spans="1:10" s="63" customFormat="1" ht="118.8" customHeight="1" x14ac:dyDescent="0.25">
      <c r="A6" s="13" t="s">
        <v>81</v>
      </c>
      <c r="B6" s="16"/>
      <c r="C6" s="16"/>
      <c r="D6" s="13" t="s">
        <v>519</v>
      </c>
      <c r="E6" s="13" t="s">
        <v>520</v>
      </c>
      <c r="F6" s="37"/>
      <c r="G6" s="37"/>
      <c r="H6" s="37"/>
      <c r="I6" s="37"/>
      <c r="J6" s="37"/>
    </row>
    <row r="7" spans="1:10" s="63" customFormat="1" ht="51" customHeight="1" x14ac:dyDescent="0.25">
      <c r="A7" s="13" t="s">
        <v>84</v>
      </c>
      <c r="B7" s="17"/>
      <c r="C7" s="17"/>
      <c r="D7" s="13" t="s">
        <v>521</v>
      </c>
      <c r="E7" s="13" t="s">
        <v>500</v>
      </c>
      <c r="F7" s="37"/>
      <c r="G7" s="37"/>
      <c r="H7" s="37"/>
      <c r="I7" s="37"/>
      <c r="J7" s="37"/>
    </row>
    <row r="8" spans="1:10" ht="30" x14ac:dyDescent="0.25">
      <c r="A8" s="22" t="s">
        <v>87</v>
      </c>
      <c r="B8" s="12">
        <f>SUM(B9:B11)</f>
        <v>0</v>
      </c>
      <c r="C8" s="12">
        <f>SUM(C9:C11)</f>
        <v>0</v>
      </c>
      <c r="D8" s="13"/>
      <c r="E8" s="13"/>
    </row>
    <row r="9" spans="1:10" ht="60" x14ac:dyDescent="0.25">
      <c r="A9" s="13" t="s">
        <v>166</v>
      </c>
      <c r="B9" s="16"/>
      <c r="C9" s="16"/>
      <c r="E9" s="13"/>
    </row>
    <row r="10" spans="1:10" ht="58.2" customHeight="1" x14ac:dyDescent="0.25">
      <c r="A10" s="13" t="s">
        <v>90</v>
      </c>
      <c r="B10" s="16"/>
      <c r="C10" s="16"/>
      <c r="D10" s="24" t="s">
        <v>522</v>
      </c>
      <c r="E10" s="13" t="s">
        <v>500</v>
      </c>
    </row>
    <row r="11" spans="1:10" ht="74.55" customHeight="1" x14ac:dyDescent="0.25">
      <c r="A11" s="13" t="s">
        <v>92</v>
      </c>
      <c r="B11" s="16"/>
      <c r="C11" s="16"/>
      <c r="D11" s="13" t="s">
        <v>523</v>
      </c>
      <c r="E11" s="24" t="s">
        <v>524</v>
      </c>
    </row>
    <row r="12" spans="1:10" ht="45" x14ac:dyDescent="0.25">
      <c r="A12" s="22" t="s">
        <v>93</v>
      </c>
      <c r="B12" s="12">
        <f>SUM(B13:B14)</f>
        <v>0</v>
      </c>
      <c r="C12" s="12">
        <f>SUM(C13:C14)</f>
        <v>0</v>
      </c>
      <c r="D12" s="13"/>
      <c r="E12" s="13"/>
    </row>
    <row r="13" spans="1:10" ht="109.8" customHeight="1" x14ac:dyDescent="0.25">
      <c r="A13" s="13" t="s">
        <v>171</v>
      </c>
      <c r="B13" s="67"/>
      <c r="C13" s="16"/>
      <c r="D13" s="13" t="s">
        <v>525</v>
      </c>
      <c r="E13" s="13" t="s">
        <v>526</v>
      </c>
    </row>
    <row r="14" spans="1:10" x14ac:dyDescent="0.25">
      <c r="A14" s="13" t="s">
        <v>96</v>
      </c>
      <c r="B14" s="16"/>
      <c r="C14" s="16"/>
      <c r="E14" s="13"/>
    </row>
    <row r="15" spans="1:10" ht="45" x14ac:dyDescent="0.25">
      <c r="A15" s="22" t="s">
        <v>97</v>
      </c>
      <c r="B15" s="16"/>
      <c r="C15" s="16"/>
      <c r="D15" s="13"/>
      <c r="E15" s="13"/>
    </row>
    <row r="16" spans="1:10" ht="30" x14ac:dyDescent="0.25">
      <c r="A16" s="22" t="s">
        <v>98</v>
      </c>
      <c r="B16" s="12">
        <f>SUM(B17:B18)</f>
        <v>89700000000</v>
      </c>
      <c r="C16" s="12">
        <f>SUM(C17:C18)</f>
        <v>111057773863.6364</v>
      </c>
      <c r="D16" s="13"/>
      <c r="E16" s="13"/>
    </row>
    <row r="17" spans="1:5" ht="53.55" customHeight="1" x14ac:dyDescent="0.25">
      <c r="A17" s="13" t="s">
        <v>99</v>
      </c>
      <c r="B17" s="67">
        <f>5*10^9</f>
        <v>5000000000</v>
      </c>
      <c r="C17" s="16">
        <f t="shared" ref="C17:C18" si="0">+B17/$B$36</f>
        <v>6190511363.6363649</v>
      </c>
      <c r="D17" s="24" t="s">
        <v>527</v>
      </c>
      <c r="E17" s="13" t="s">
        <v>528</v>
      </c>
    </row>
    <row r="18" spans="1:5" ht="123.6" customHeight="1" x14ac:dyDescent="0.25">
      <c r="A18" s="13" t="s">
        <v>101</v>
      </c>
      <c r="B18" s="67">
        <f>(30+30.5+6+14.7+3.5)*10^9</f>
        <v>84700000000</v>
      </c>
      <c r="C18" s="16">
        <f t="shared" si="0"/>
        <v>104867262500.00003</v>
      </c>
      <c r="D18" s="33" t="s">
        <v>529</v>
      </c>
      <c r="E18" s="13" t="s">
        <v>528</v>
      </c>
    </row>
    <row r="19" spans="1:5" ht="30" x14ac:dyDescent="0.25">
      <c r="A19" s="22" t="s">
        <v>103</v>
      </c>
      <c r="B19" s="16"/>
      <c r="C19" s="16"/>
      <c r="D19" s="13"/>
      <c r="E19" s="66"/>
    </row>
    <row r="20" spans="1:5" x14ac:dyDescent="0.25">
      <c r="A20" s="13" t="s">
        <v>104</v>
      </c>
      <c r="B20" s="16"/>
      <c r="C20" s="16"/>
      <c r="D20" s="13"/>
      <c r="E20" s="66"/>
    </row>
    <row r="21" spans="1:5" ht="38.4" customHeight="1" x14ac:dyDescent="0.25">
      <c r="A21" s="22" t="s">
        <v>105</v>
      </c>
      <c r="B21" s="12">
        <f>SUM(B22,B24)</f>
        <v>200400000000</v>
      </c>
      <c r="C21" s="12">
        <f>SUM(C22,C24)</f>
        <v>248115695454.54553</v>
      </c>
      <c r="D21" s="13"/>
      <c r="E21" s="13"/>
    </row>
    <row r="22" spans="1:5" ht="135" customHeight="1" x14ac:dyDescent="0.25">
      <c r="A22" s="22" t="s">
        <v>108</v>
      </c>
      <c r="B22" s="16">
        <f>0.4*10^9</f>
        <v>400000000</v>
      </c>
      <c r="C22" s="16">
        <f t="shared" ref="C22" si="1">+B22/$B$36</f>
        <v>495240909.09090924</v>
      </c>
      <c r="D22" s="13" t="s">
        <v>530</v>
      </c>
      <c r="E22" s="13" t="s">
        <v>531</v>
      </c>
    </row>
    <row r="23" spans="1:5" x14ac:dyDescent="0.25">
      <c r="A23" s="13" t="s">
        <v>109</v>
      </c>
      <c r="B23" s="16"/>
      <c r="C23" s="16"/>
      <c r="D23" s="13"/>
      <c r="E23" s="13"/>
    </row>
    <row r="24" spans="1:5" ht="50.4" customHeight="1" x14ac:dyDescent="0.25">
      <c r="A24" s="22" t="s">
        <v>110</v>
      </c>
      <c r="B24" s="16">
        <f>200*10^9</f>
        <v>200000000000</v>
      </c>
      <c r="C24" s="16">
        <f>+B24/$B$36</f>
        <v>247620454545.45462</v>
      </c>
      <c r="D24" s="13" t="s">
        <v>532</v>
      </c>
      <c r="E24" s="13" t="s">
        <v>524</v>
      </c>
    </row>
    <row r="25" spans="1:5" x14ac:dyDescent="0.25">
      <c r="A25" s="13" t="s">
        <v>109</v>
      </c>
      <c r="B25" s="16"/>
      <c r="C25" s="67"/>
      <c r="D25" s="13"/>
      <c r="E25" s="13"/>
    </row>
    <row r="26" spans="1:5" x14ac:dyDescent="0.25">
      <c r="A26" s="22" t="s">
        <v>111</v>
      </c>
      <c r="B26" s="12">
        <f>SUM(B27:B29)</f>
        <v>18145282369.462055</v>
      </c>
      <c r="C26" s="12">
        <f>SUM(C27:C29)</f>
        <v>22465715340.909092</v>
      </c>
      <c r="D26" s="13"/>
      <c r="E26" s="13"/>
    </row>
    <row r="27" spans="1:5" ht="68.400000000000006" customHeight="1" x14ac:dyDescent="0.25">
      <c r="A27" s="13" t="s">
        <v>112</v>
      </c>
      <c r="B27" s="19">
        <f>+C27*B36</f>
        <v>17995282369.462055</v>
      </c>
      <c r="C27" s="19">
        <f>22.28*10^9</f>
        <v>22280000000</v>
      </c>
      <c r="D27" s="13" t="s">
        <v>533</v>
      </c>
      <c r="E27" s="13" t="s">
        <v>534</v>
      </c>
    </row>
    <row r="28" spans="1:5" x14ac:dyDescent="0.25">
      <c r="A28" s="13" t="s">
        <v>115</v>
      </c>
      <c r="B28" s="16"/>
      <c r="C28" s="16"/>
      <c r="D28" s="13"/>
      <c r="E28" s="13"/>
    </row>
    <row r="29" spans="1:5" ht="60" x14ac:dyDescent="0.25">
      <c r="A29" s="13" t="s">
        <v>116</v>
      </c>
      <c r="B29" s="19">
        <v>150000000</v>
      </c>
      <c r="C29" s="19">
        <f>+B29/$B$36</f>
        <v>185715340.90909097</v>
      </c>
      <c r="D29" s="13" t="s">
        <v>535</v>
      </c>
      <c r="E29" s="13" t="s">
        <v>500</v>
      </c>
    </row>
    <row r="30" spans="1:5" x14ac:dyDescent="0.25">
      <c r="A30" s="25" t="s">
        <v>117</v>
      </c>
      <c r="B30" s="26"/>
      <c r="C30" s="26"/>
      <c r="D30" s="28"/>
      <c r="E30" s="28"/>
    </row>
    <row r="31" spans="1:5" ht="17.399999999999999" customHeight="1" x14ac:dyDescent="0.25">
      <c r="A31" s="25" t="s">
        <v>118</v>
      </c>
      <c r="B31" s="26"/>
      <c r="C31" s="26"/>
      <c r="D31" s="25"/>
      <c r="E31" s="25"/>
    </row>
    <row r="32" spans="1:5" ht="126" customHeight="1" x14ac:dyDescent="0.25">
      <c r="A32" s="22" t="s">
        <v>119</v>
      </c>
      <c r="B32" s="12">
        <v>330000000000</v>
      </c>
      <c r="C32" s="12">
        <f>+B32/$B$36</f>
        <v>408573750000.00012</v>
      </c>
      <c r="D32" s="13" t="s">
        <v>536</v>
      </c>
      <c r="E32" s="24" t="s">
        <v>524</v>
      </c>
    </row>
    <row r="33" spans="1:5" x14ac:dyDescent="0.25">
      <c r="A33" s="35"/>
      <c r="B33" s="176"/>
      <c r="C33" s="176"/>
      <c r="D33" s="33"/>
      <c r="E33" s="33"/>
    </row>
    <row r="34" spans="1:5" x14ac:dyDescent="0.25">
      <c r="A34" s="35" t="s">
        <v>120</v>
      </c>
      <c r="B34" s="71">
        <f>SUM(B5,B8,B12,B15,B16,B32)</f>
        <v>419700000000</v>
      </c>
      <c r="C34" s="71">
        <f>SUM(C5,C8,C12,C15,C16,C32)</f>
        <v>519631523863.63654</v>
      </c>
      <c r="D34" s="70" t="s">
        <v>154</v>
      </c>
    </row>
    <row r="35" spans="1:5" x14ac:dyDescent="0.25">
      <c r="A35" s="35"/>
      <c r="B35" s="71"/>
      <c r="C35" s="72"/>
    </row>
    <row r="36" spans="1:5" x14ac:dyDescent="0.25">
      <c r="A36" s="35" t="s">
        <v>121</v>
      </c>
      <c r="B36" s="49">
        <v>0.80768771855754296</v>
      </c>
      <c r="C36" s="74"/>
    </row>
    <row r="37" spans="1:5" x14ac:dyDescent="0.25">
      <c r="A37" s="75" t="s">
        <v>122</v>
      </c>
      <c r="B37" s="179">
        <v>2184920000000</v>
      </c>
      <c r="C37" s="77">
        <v>2743590000000</v>
      </c>
    </row>
    <row r="38" spans="1:5" x14ac:dyDescent="0.25">
      <c r="A38" s="75" t="s">
        <v>123</v>
      </c>
      <c r="B38" s="179">
        <v>66488991</v>
      </c>
      <c r="C38" s="162"/>
    </row>
    <row r="39" spans="1:5" x14ac:dyDescent="0.25">
      <c r="A39" s="75"/>
      <c r="B39" s="76"/>
      <c r="C39" s="76"/>
    </row>
    <row r="40" spans="1:5" x14ac:dyDescent="0.25">
      <c r="A40" s="7"/>
      <c r="B40" s="46" t="s">
        <v>537</v>
      </c>
      <c r="C40" s="47" t="s">
        <v>125</v>
      </c>
    </row>
    <row r="41" spans="1:5" x14ac:dyDescent="0.25">
      <c r="A41" s="75" t="s">
        <v>126</v>
      </c>
      <c r="B41" s="48">
        <f>$B37/$B38</f>
        <v>32861.380014023678</v>
      </c>
      <c r="C41" s="48">
        <f>$C37/$B38</f>
        <v>41263.823660671886</v>
      </c>
    </row>
    <row r="42" spans="1:5" x14ac:dyDescent="0.25">
      <c r="A42" s="75" t="s">
        <v>127</v>
      </c>
      <c r="B42" s="49">
        <f>($B34/$B37)*100</f>
        <v>19.208941288468228</v>
      </c>
      <c r="C42" s="49"/>
    </row>
    <row r="43" spans="1:5" x14ac:dyDescent="0.25">
      <c r="A43" s="75" t="s">
        <v>128</v>
      </c>
      <c r="B43" s="192">
        <f>B34/B38</f>
        <v>6312.3231934742398</v>
      </c>
      <c r="C43" s="192">
        <f>C34/B38</f>
        <v>7815.3016920295349</v>
      </c>
    </row>
    <row r="44" spans="1:5" x14ac:dyDescent="0.25">
      <c r="A44" s="75"/>
      <c r="B44" s="78"/>
      <c r="C44" s="78"/>
    </row>
    <row r="45" spans="1:5" x14ac:dyDescent="0.25">
      <c r="A45" s="335" t="s">
        <v>1057</v>
      </c>
      <c r="B45" s="78"/>
      <c r="C45" s="78"/>
    </row>
    <row r="46" spans="1:5" x14ac:dyDescent="0.25">
      <c r="A46" s="75"/>
      <c r="B46" s="78"/>
      <c r="C46" s="78"/>
    </row>
    <row r="47" spans="1:5" x14ac:dyDescent="0.25">
      <c r="A47" s="75"/>
      <c r="B47" s="79"/>
    </row>
    <row r="48" spans="1:5" x14ac:dyDescent="0.25">
      <c r="A48" s="75" t="s">
        <v>129</v>
      </c>
    </row>
    <row r="49" spans="1:10" ht="15.45" customHeight="1" x14ac:dyDescent="0.25">
      <c r="A49" s="7" t="s">
        <v>538</v>
      </c>
      <c r="B49" s="53"/>
      <c r="C49" s="53"/>
      <c r="D49" s="53"/>
      <c r="E49" s="53"/>
    </row>
    <row r="50" spans="1:10" x14ac:dyDescent="0.25">
      <c r="A50" s="70" t="s">
        <v>495</v>
      </c>
    </row>
    <row r="52" spans="1:10" s="70" customFormat="1" x14ac:dyDescent="0.25">
      <c r="A52" s="75" t="s">
        <v>131</v>
      </c>
      <c r="F52" s="37"/>
      <c r="G52" s="37"/>
      <c r="H52" s="37"/>
      <c r="I52" s="37"/>
      <c r="J52" s="37"/>
    </row>
    <row r="53" spans="1:10" s="70" customFormat="1" x14ac:dyDescent="0.25">
      <c r="A53" s="7" t="s">
        <v>539</v>
      </c>
      <c r="B53" s="37"/>
      <c r="C53" s="147"/>
      <c r="F53" s="37"/>
      <c r="G53" s="37"/>
      <c r="H53" s="37"/>
      <c r="I53" s="37"/>
      <c r="J53" s="37"/>
    </row>
    <row r="54" spans="1:10" s="70" customFormat="1" x14ac:dyDescent="0.25">
      <c r="A54" s="7" t="s">
        <v>540</v>
      </c>
      <c r="B54" s="37"/>
      <c r="C54" s="147"/>
      <c r="F54" s="37"/>
      <c r="G54" s="37"/>
      <c r="H54" s="37"/>
      <c r="I54" s="37"/>
      <c r="J54" s="37"/>
    </row>
    <row r="55" spans="1:10" s="70" customFormat="1" x14ac:dyDescent="0.25">
      <c r="A55" s="7" t="s">
        <v>541</v>
      </c>
      <c r="B55" s="37"/>
      <c r="C55" s="147"/>
      <c r="F55" s="37"/>
      <c r="G55" s="37"/>
      <c r="H55" s="37"/>
      <c r="I55" s="37"/>
      <c r="J55" s="37"/>
    </row>
    <row r="56" spans="1:10" s="70" customFormat="1" x14ac:dyDescent="0.25">
      <c r="A56" s="7" t="s">
        <v>542</v>
      </c>
      <c r="B56" s="33"/>
      <c r="C56" s="33"/>
      <c r="D56" s="33"/>
      <c r="E56" s="33"/>
      <c r="F56" s="37"/>
      <c r="G56" s="37"/>
      <c r="H56" s="37"/>
      <c r="I56" s="37"/>
      <c r="J56" s="37"/>
    </row>
    <row r="57" spans="1:10" s="70" customFormat="1" x14ac:dyDescent="0.25">
      <c r="A57" s="70" t="s">
        <v>495</v>
      </c>
      <c r="F57" s="37"/>
      <c r="G57" s="37"/>
      <c r="H57" s="37"/>
      <c r="I57" s="37"/>
      <c r="J57" s="37"/>
    </row>
    <row r="58" spans="1:10" s="70" customFormat="1" x14ac:dyDescent="0.25">
      <c r="A58" s="7"/>
      <c r="F58" s="37"/>
      <c r="G58" s="37"/>
      <c r="H58" s="37"/>
      <c r="I58" s="37"/>
      <c r="J58" s="37"/>
    </row>
    <row r="59" spans="1:10" s="70" customFormat="1" x14ac:dyDescent="0.25">
      <c r="A59" s="7"/>
      <c r="F59" s="37"/>
      <c r="G59" s="37"/>
      <c r="H59" s="37"/>
      <c r="I59" s="37"/>
      <c r="J59" s="37"/>
    </row>
    <row r="60" spans="1:10" x14ac:dyDescent="0.25">
      <c r="A60" s="367" t="s">
        <v>1060</v>
      </c>
      <c r="B60" s="367"/>
      <c r="C60" s="367"/>
      <c r="D60" s="367"/>
      <c r="E60" s="367"/>
    </row>
    <row r="61" spans="1:10" x14ac:dyDescent="0.25">
      <c r="A61" s="367"/>
      <c r="B61" s="367"/>
      <c r="C61" s="367"/>
      <c r="D61" s="367"/>
      <c r="E61" s="367"/>
    </row>
  </sheetData>
  <sheetProtection algorithmName="SHA-512" hashValue="UD4yNJsFiRVPsUyN36q5AR/yts1XBgFws/VvSLrPmJlseg52LvuEHIut7kPepxphKG7BReWSliEmWZvHrW8wig==" saltValue="z03D0Ioec+fcx/1x6GiKYA==" spinCount="100000" sheet="1" formatCells="0" formatColumns="0" formatRows="0" insertColumns="0" insertRows="0" insertHyperlinks="0" deleteColumns="0" deleteRows="0" sort="0" autoFilter="0" pivotTables="0"/>
  <mergeCells count="1">
    <mergeCell ref="A60:E61"/>
  </mergeCells>
  <hyperlinks>
    <hyperlink ref="A2" location="Index!H42" display="[Back to Index]" xr:uid="{CCE15625-08C5-41BC-BFD7-1448515FC872}"/>
  </hyperlinks>
  <pageMargins left="0.7" right="0.7" top="0.75" bottom="0.75" header="0.3" footer="0.3"/>
  <pageSetup orientation="portrait"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DF59-A772-4E34-A39A-E93057DC1AB2}">
  <sheetPr codeName="Sheet69">
    <tabColor rgb="FFBFDDAB"/>
  </sheetPr>
  <dimension ref="A1:G65"/>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2" width="27.5546875" style="38" customWidth="1"/>
    <col min="3" max="3" width="27.6640625" style="38" customWidth="1"/>
    <col min="4" max="4" width="95.6640625" style="37" customWidth="1"/>
    <col min="5" max="5" width="40.6640625" style="38" customWidth="1"/>
    <col min="6" max="16384" width="8.6640625" style="18"/>
  </cols>
  <sheetData>
    <row r="1" spans="1:7" s="5" customFormat="1" ht="17.399999999999999" x14ac:dyDescent="0.25">
      <c r="A1" s="112" t="s">
        <v>62</v>
      </c>
      <c r="B1" s="2" t="s">
        <v>73</v>
      </c>
      <c r="C1" s="84">
        <v>224.68190000000001</v>
      </c>
      <c r="D1" s="4" t="s">
        <v>1045</v>
      </c>
    </row>
    <row r="2" spans="1:7" s="5" customFormat="1" x14ac:dyDescent="0.25">
      <c r="A2" s="324" t="s">
        <v>74</v>
      </c>
      <c r="C2" s="84">
        <v>11.892989999999999</v>
      </c>
      <c r="D2" s="4" t="s">
        <v>1046</v>
      </c>
    </row>
    <row r="3" spans="1:7" x14ac:dyDescent="0.25">
      <c r="A3" s="154"/>
      <c r="B3" s="222"/>
      <c r="C3" s="142"/>
    </row>
    <row r="4" spans="1:7" s="10" customFormat="1" x14ac:dyDescent="0.3">
      <c r="A4" s="8" t="s">
        <v>75</v>
      </c>
      <c r="B4" s="233" t="s">
        <v>77</v>
      </c>
      <c r="C4" s="234"/>
      <c r="D4" s="9" t="s">
        <v>78</v>
      </c>
      <c r="E4" s="8" t="s">
        <v>79</v>
      </c>
    </row>
    <row r="5" spans="1:7" s="15" customFormat="1" ht="60" x14ac:dyDescent="0.25">
      <c r="A5" s="11" t="s">
        <v>80</v>
      </c>
      <c r="B5" s="235">
        <f>SUM(B6:B7)</f>
        <v>106000000000</v>
      </c>
      <c r="C5" s="310"/>
      <c r="D5" s="13"/>
      <c r="E5" s="14"/>
    </row>
    <row r="6" spans="1:7" s="15" customFormat="1" ht="141" customHeight="1" x14ac:dyDescent="0.25">
      <c r="A6" s="14" t="s">
        <v>81</v>
      </c>
      <c r="B6" s="237">
        <v>106000000000</v>
      </c>
      <c r="C6" s="238"/>
      <c r="D6" s="13" t="s">
        <v>1013</v>
      </c>
      <c r="E6" s="83" t="s">
        <v>1014</v>
      </c>
      <c r="G6" s="18"/>
    </row>
    <row r="7" spans="1:7" s="15" customFormat="1" ht="45" x14ac:dyDescent="0.25">
      <c r="A7" s="14" t="s">
        <v>84</v>
      </c>
      <c r="B7" s="239"/>
      <c r="C7" s="240"/>
      <c r="D7" s="13"/>
      <c r="E7" s="83"/>
      <c r="G7" s="18"/>
    </row>
    <row r="8" spans="1:7" ht="30" x14ac:dyDescent="0.25">
      <c r="A8" s="11" t="s">
        <v>87</v>
      </c>
      <c r="B8" s="235">
        <f>SUM(B9:B11)</f>
        <v>1056325000000</v>
      </c>
      <c r="C8" s="310"/>
      <c r="D8" s="13"/>
      <c r="E8" s="14"/>
    </row>
    <row r="9" spans="1:7" ht="120" x14ac:dyDescent="0.25">
      <c r="A9" s="14" t="s">
        <v>88</v>
      </c>
      <c r="B9" s="237">
        <v>196325000000</v>
      </c>
      <c r="C9" s="238"/>
      <c r="D9" s="24" t="s">
        <v>1015</v>
      </c>
      <c r="E9" s="260" t="s">
        <v>1016</v>
      </c>
    </row>
    <row r="10" spans="1:7" ht="90.6" x14ac:dyDescent="0.25">
      <c r="A10" s="14" t="s">
        <v>90</v>
      </c>
      <c r="B10" s="237"/>
      <c r="C10" s="238"/>
      <c r="D10" s="13" t="s">
        <v>1017</v>
      </c>
      <c r="E10" s="260" t="s">
        <v>846</v>
      </c>
    </row>
    <row r="11" spans="1:7" ht="75" x14ac:dyDescent="0.25">
      <c r="A11" s="14" t="s">
        <v>92</v>
      </c>
      <c r="B11" s="237">
        <f>(0.349+0.057+0.454)*10^12</f>
        <v>860000000000</v>
      </c>
      <c r="C11" s="238"/>
      <c r="D11" s="24" t="s">
        <v>1018</v>
      </c>
      <c r="E11" s="14" t="s">
        <v>1019</v>
      </c>
    </row>
    <row r="12" spans="1:7" ht="45" x14ac:dyDescent="0.25">
      <c r="A12" s="11" t="s">
        <v>93</v>
      </c>
      <c r="B12" s="235">
        <f>SUM(B13:B14)</f>
        <v>0</v>
      </c>
      <c r="C12" s="310"/>
      <c r="D12" s="13"/>
      <c r="E12" s="14"/>
    </row>
    <row r="13" spans="1:7" ht="45" x14ac:dyDescent="0.25">
      <c r="A13" s="14" t="s">
        <v>94</v>
      </c>
      <c r="B13" s="237"/>
      <c r="C13" s="238"/>
      <c r="D13" s="276"/>
      <c r="E13" s="311"/>
    </row>
    <row r="14" spans="1:7" x14ac:dyDescent="0.25">
      <c r="A14" s="14" t="s">
        <v>96</v>
      </c>
      <c r="B14" s="237"/>
      <c r="C14" s="238"/>
      <c r="D14" s="13"/>
      <c r="E14" s="14"/>
    </row>
    <row r="15" spans="1:7" ht="45" x14ac:dyDescent="0.25">
      <c r="A15" s="11" t="s">
        <v>97</v>
      </c>
      <c r="B15" s="235">
        <v>0</v>
      </c>
      <c r="C15" s="312"/>
      <c r="D15" s="13"/>
      <c r="E15" s="14"/>
    </row>
    <row r="16" spans="1:7" ht="30" x14ac:dyDescent="0.25">
      <c r="A16" s="11" t="s">
        <v>98</v>
      </c>
      <c r="B16" s="235">
        <f>SUM(B17:B18)</f>
        <v>1303138000000</v>
      </c>
      <c r="C16" s="236"/>
      <c r="E16" s="14"/>
    </row>
    <row r="17" spans="1:5" ht="255" customHeight="1" x14ac:dyDescent="0.25">
      <c r="A17" s="13" t="s">
        <v>99</v>
      </c>
      <c r="B17" s="237">
        <f>163.138*10^9</f>
        <v>163138000000</v>
      </c>
      <c r="C17" s="313"/>
      <c r="D17" s="13" t="s">
        <v>1020</v>
      </c>
      <c r="E17" s="14" t="s">
        <v>1021</v>
      </c>
    </row>
    <row r="18" spans="1:5" ht="105" x14ac:dyDescent="0.25">
      <c r="A18" s="13" t="s">
        <v>101</v>
      </c>
      <c r="B18" s="237">
        <f>(1.14)*10^12</f>
        <v>1140000000000</v>
      </c>
      <c r="C18" s="314"/>
      <c r="D18" s="14" t="s">
        <v>1022</v>
      </c>
      <c r="E18" s="14" t="s">
        <v>1023</v>
      </c>
    </row>
    <row r="19" spans="1:5" ht="30" x14ac:dyDescent="0.25">
      <c r="A19" s="11" t="s">
        <v>103</v>
      </c>
      <c r="B19" s="235" t="s">
        <v>1024</v>
      </c>
      <c r="C19" s="236"/>
      <c r="D19" s="13"/>
      <c r="E19" s="21"/>
    </row>
    <row r="20" spans="1:5" x14ac:dyDescent="0.25">
      <c r="A20" s="14" t="s">
        <v>104</v>
      </c>
      <c r="B20" s="237"/>
      <c r="C20" s="238"/>
      <c r="D20" s="13"/>
      <c r="E20" s="21"/>
    </row>
    <row r="21" spans="1:5" ht="30" x14ac:dyDescent="0.25">
      <c r="A21" s="22" t="s">
        <v>105</v>
      </c>
      <c r="B21" s="235">
        <f>SUM(B22,B24)</f>
        <v>1286234000000</v>
      </c>
      <c r="C21" s="310"/>
      <c r="D21" s="13"/>
      <c r="E21" s="14"/>
    </row>
    <row r="22" spans="1:5" x14ac:dyDescent="0.25">
      <c r="A22" s="22" t="s">
        <v>108</v>
      </c>
      <c r="B22" s="237"/>
      <c r="C22" s="238"/>
      <c r="D22" s="13"/>
      <c r="E22" s="14"/>
    </row>
    <row r="23" spans="1:5" x14ac:dyDescent="0.25">
      <c r="A23" s="13" t="s">
        <v>109</v>
      </c>
      <c r="B23" s="237"/>
      <c r="C23" s="238"/>
      <c r="D23" s="13"/>
      <c r="E23" s="14"/>
    </row>
    <row r="24" spans="1:5" ht="45" x14ac:dyDescent="0.25">
      <c r="A24" s="22" t="s">
        <v>110</v>
      </c>
      <c r="B24" s="237">
        <v>1286234000000</v>
      </c>
      <c r="C24" s="296"/>
      <c r="D24" s="24" t="s">
        <v>1025</v>
      </c>
      <c r="E24" s="260" t="s">
        <v>846</v>
      </c>
    </row>
    <row r="25" spans="1:5" x14ac:dyDescent="0.25">
      <c r="A25" s="13" t="s">
        <v>109</v>
      </c>
      <c r="B25" s="243"/>
      <c r="C25" s="244"/>
      <c r="D25" s="13"/>
      <c r="E25" s="14"/>
    </row>
    <row r="26" spans="1:5" x14ac:dyDescent="0.25">
      <c r="A26" s="22" t="s">
        <v>111</v>
      </c>
      <c r="B26" s="235">
        <f>SUM(B27:B29)</f>
        <v>400921400000</v>
      </c>
      <c r="C26" s="236"/>
      <c r="D26" s="13"/>
      <c r="E26" s="260"/>
    </row>
    <row r="27" spans="1:5" ht="120" x14ac:dyDescent="0.25">
      <c r="A27" s="13" t="s">
        <v>112</v>
      </c>
      <c r="B27" s="237">
        <f>400921400000</f>
        <v>400921400000</v>
      </c>
      <c r="C27" s="315"/>
      <c r="D27" s="13" t="s">
        <v>1026</v>
      </c>
      <c r="E27" s="83" t="s">
        <v>1027</v>
      </c>
    </row>
    <row r="28" spans="1:5" x14ac:dyDescent="0.25">
      <c r="A28" s="13" t="s">
        <v>115</v>
      </c>
      <c r="B28" s="237"/>
      <c r="C28" s="238"/>
      <c r="D28" s="13"/>
      <c r="E28" s="14"/>
    </row>
    <row r="29" spans="1:5" x14ac:dyDescent="0.25">
      <c r="A29" s="14" t="s">
        <v>116</v>
      </c>
      <c r="B29" s="237"/>
      <c r="C29" s="238"/>
      <c r="D29" s="13"/>
      <c r="E29" s="14"/>
    </row>
    <row r="30" spans="1:5" x14ac:dyDescent="0.25">
      <c r="A30" s="29" t="s">
        <v>117</v>
      </c>
      <c r="B30" s="316"/>
      <c r="C30" s="317"/>
      <c r="D30" s="25"/>
      <c r="E30" s="29"/>
    </row>
    <row r="31" spans="1:5" x14ac:dyDescent="0.25">
      <c r="A31" s="29" t="s">
        <v>118</v>
      </c>
      <c r="B31" s="316"/>
      <c r="C31" s="317"/>
      <c r="D31" s="25"/>
      <c r="E31" s="29"/>
    </row>
    <row r="32" spans="1:5" x14ac:dyDescent="0.25">
      <c r="A32" s="11" t="s">
        <v>119</v>
      </c>
      <c r="B32" s="235">
        <v>0</v>
      </c>
      <c r="C32" s="236"/>
      <c r="D32" s="56"/>
      <c r="E32" s="260"/>
    </row>
    <row r="33" spans="1:5" x14ac:dyDescent="0.25">
      <c r="A33" s="31"/>
      <c r="B33" s="120"/>
      <c r="C33" s="120"/>
      <c r="D33" s="33"/>
      <c r="E33" s="34"/>
    </row>
    <row r="34" spans="1:5" x14ac:dyDescent="0.25">
      <c r="A34" s="35" t="s">
        <v>120</v>
      </c>
      <c r="B34" s="265">
        <f>(SUM(B5,B8,B12,B15,B16,B32,B26))</f>
        <v>2866384400000</v>
      </c>
      <c r="C34" s="121"/>
      <c r="D34" s="37" t="s">
        <v>1028</v>
      </c>
    </row>
    <row r="35" spans="1:5" x14ac:dyDescent="0.25">
      <c r="A35" s="31"/>
      <c r="B35" s="39"/>
      <c r="C35" s="40"/>
    </row>
    <row r="36" spans="1:5" x14ac:dyDescent="0.25">
      <c r="A36" s="31" t="s">
        <v>121</v>
      </c>
      <c r="B36" s="268">
        <v>1</v>
      </c>
      <c r="C36" s="42"/>
    </row>
    <row r="37" spans="1:5" x14ac:dyDescent="0.25">
      <c r="A37" s="43" t="s">
        <v>122</v>
      </c>
      <c r="B37" s="269">
        <v>21439450000000</v>
      </c>
      <c r="C37" s="45"/>
      <c r="D37" s="89"/>
    </row>
    <row r="38" spans="1:5" x14ac:dyDescent="0.25">
      <c r="A38" s="43" t="s">
        <v>123</v>
      </c>
      <c r="B38" s="269">
        <v>327167434</v>
      </c>
      <c r="C38" s="152"/>
    </row>
    <row r="39" spans="1:5" x14ac:dyDescent="0.25">
      <c r="A39" s="43"/>
      <c r="B39" s="44"/>
      <c r="C39" s="44"/>
    </row>
    <row r="40" spans="1:5" x14ac:dyDescent="0.25">
      <c r="A40" s="5"/>
      <c r="B40" s="46" t="s">
        <v>125</v>
      </c>
      <c r="C40" s="47"/>
    </row>
    <row r="41" spans="1:5" x14ac:dyDescent="0.25">
      <c r="A41" s="43" t="s">
        <v>126</v>
      </c>
      <c r="B41" s="269">
        <f>$B37/$B38</f>
        <v>65530.513651306748</v>
      </c>
      <c r="C41" s="48"/>
    </row>
    <row r="42" spans="1:5" x14ac:dyDescent="0.25">
      <c r="A42" s="43" t="s">
        <v>127</v>
      </c>
      <c r="B42" s="268">
        <f>($B34/$B37)*100</f>
        <v>13.369673195907545</v>
      </c>
      <c r="C42" s="49"/>
    </row>
    <row r="43" spans="1:5" x14ac:dyDescent="0.25">
      <c r="A43" s="43" t="s">
        <v>128</v>
      </c>
      <c r="B43" s="268">
        <f>B34/B38</f>
        <v>8761.2155187792923</v>
      </c>
      <c r="C43" s="153"/>
    </row>
    <row r="44" spans="1:5" x14ac:dyDescent="0.25">
      <c r="A44" s="43"/>
      <c r="B44" s="50"/>
      <c r="C44" s="50"/>
    </row>
    <row r="45" spans="1:5" x14ac:dyDescent="0.25">
      <c r="A45" s="335" t="s">
        <v>1057</v>
      </c>
      <c r="B45" s="50"/>
      <c r="C45" s="50"/>
    </row>
    <row r="46" spans="1:5" x14ac:dyDescent="0.25">
      <c r="A46" s="43"/>
      <c r="B46" s="50"/>
      <c r="C46" s="50"/>
    </row>
    <row r="47" spans="1:5" x14ac:dyDescent="0.25">
      <c r="A47" s="43"/>
      <c r="B47" s="51"/>
    </row>
    <row r="48" spans="1:5" x14ac:dyDescent="0.25">
      <c r="A48" s="43" t="s">
        <v>129</v>
      </c>
    </row>
    <row r="49" spans="1:5" x14ac:dyDescent="0.25">
      <c r="A49" s="5" t="s">
        <v>1029</v>
      </c>
      <c r="C49" s="53"/>
    </row>
    <row r="50" spans="1:5" ht="15.45" customHeight="1" x14ac:dyDescent="0.25">
      <c r="A50" s="318" t="s">
        <v>1030</v>
      </c>
      <c r="B50" s="138"/>
      <c r="C50" s="147"/>
      <c r="D50" s="139"/>
    </row>
    <row r="51" spans="1:5" ht="15.45" customHeight="1" x14ac:dyDescent="0.25">
      <c r="A51" s="368" t="s">
        <v>1031</v>
      </c>
      <c r="B51" s="368"/>
      <c r="C51" s="368"/>
      <c r="D51" s="368"/>
      <c r="E51" s="368"/>
    </row>
    <row r="52" spans="1:5" ht="15.45" customHeight="1" x14ac:dyDescent="0.25">
      <c r="A52" s="368"/>
      <c r="B52" s="368"/>
      <c r="C52" s="368"/>
      <c r="D52" s="368"/>
      <c r="E52" s="368"/>
    </row>
    <row r="53" spans="1:5" s="37" customFormat="1" ht="15.45" customHeight="1" x14ac:dyDescent="0.25">
      <c r="A53" s="368" t="s">
        <v>1032</v>
      </c>
      <c r="B53" s="368"/>
      <c r="C53" s="368"/>
      <c r="D53" s="368"/>
      <c r="E53" s="368"/>
    </row>
    <row r="54" spans="1:5" x14ac:dyDescent="0.25">
      <c r="A54" s="368"/>
      <c r="B54" s="368"/>
      <c r="C54" s="368"/>
      <c r="D54" s="368"/>
      <c r="E54" s="368"/>
    </row>
    <row r="55" spans="1:5" x14ac:dyDescent="0.25">
      <c r="A55" s="111"/>
      <c r="C55" s="53"/>
    </row>
    <row r="56" spans="1:5" x14ac:dyDescent="0.25">
      <c r="A56" s="43" t="s">
        <v>131</v>
      </c>
    </row>
    <row r="57" spans="1:5" x14ac:dyDescent="0.25">
      <c r="A57" s="54" t="s">
        <v>1033</v>
      </c>
      <c r="B57" s="18"/>
      <c r="D57" s="319"/>
      <c r="E57" s="18"/>
    </row>
    <row r="58" spans="1:5" x14ac:dyDescent="0.25">
      <c r="A58" s="37" t="s">
        <v>1034</v>
      </c>
      <c r="B58" s="18"/>
      <c r="D58" s="319"/>
      <c r="E58" s="18"/>
    </row>
    <row r="59" spans="1:5" x14ac:dyDescent="0.25">
      <c r="A59" s="18" t="s">
        <v>1035</v>
      </c>
      <c r="B59" s="18"/>
      <c r="D59" s="319"/>
      <c r="E59" s="18"/>
    </row>
    <row r="60" spans="1:5" x14ac:dyDescent="0.25">
      <c r="A60" s="70" t="s">
        <v>1036</v>
      </c>
      <c r="D60" s="319"/>
      <c r="E60" s="18"/>
    </row>
    <row r="61" spans="1:5" ht="15.45" customHeight="1" x14ac:dyDescent="0.25">
      <c r="A61" s="18" t="s">
        <v>710</v>
      </c>
      <c r="B61" s="138"/>
      <c r="D61" s="139"/>
    </row>
    <row r="62" spans="1:5" s="38" customFormat="1" x14ac:dyDescent="0.25">
      <c r="A62" s="5"/>
      <c r="D62" s="37"/>
    </row>
    <row r="63" spans="1:5" s="38" customFormat="1" x14ac:dyDescent="0.25">
      <c r="A63" s="5"/>
      <c r="D63" s="37"/>
    </row>
    <row r="64" spans="1:5" x14ac:dyDescent="0.25">
      <c r="A64" s="364" t="s">
        <v>1060</v>
      </c>
      <c r="B64" s="364"/>
      <c r="C64" s="364"/>
      <c r="D64" s="364"/>
      <c r="E64" s="364"/>
    </row>
    <row r="65" spans="1:5" x14ac:dyDescent="0.25">
      <c r="A65" s="364"/>
      <c r="B65" s="364"/>
      <c r="C65" s="364"/>
      <c r="D65" s="364"/>
      <c r="E65" s="364"/>
    </row>
  </sheetData>
  <sheetProtection algorithmName="SHA-512" hashValue="Ql+Y15JKG8HwxFfUGwKtz+tjsH0jVGNqwGLd+qDBtiJH8CMRSy0/q6wI3Jy8HtOtDUonsDC2lCZelUGgV265yA==" saltValue="KHs5Q1EDnVsc82KJ7Xoj9A==" spinCount="100000" sheet="1" formatCells="0" formatColumns="0" formatRows="0" insertColumns="0" insertRows="0" insertHyperlinks="0" deleteColumns="0" deleteRows="0" sort="0" autoFilter="0" pivotTables="0"/>
  <mergeCells count="3">
    <mergeCell ref="A51:E52"/>
    <mergeCell ref="A53:E54"/>
    <mergeCell ref="A64:E65"/>
  </mergeCells>
  <hyperlinks>
    <hyperlink ref="A2" location="Index!H43" display="[Back to Index]" xr:uid="{708FD100-7CE1-425E-9208-21097879431D}"/>
  </hyperlink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5ADC-8F8C-4FE6-A017-9758622329CC}">
  <sheetPr codeName="Sheet7">
    <tabColor theme="7" tint="0.79998168889431442"/>
  </sheetPr>
  <dimension ref="A1:E6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38" customWidth="1"/>
    <col min="2" max="2" width="27.5546875" style="38" customWidth="1"/>
    <col min="3" max="3" width="27.77734375" style="38" customWidth="1"/>
    <col min="4" max="4" width="95.77734375" style="37" customWidth="1"/>
    <col min="5" max="5" width="40.77734375" style="38" customWidth="1"/>
    <col min="6" max="16384" width="8.77734375" style="18"/>
  </cols>
  <sheetData>
    <row r="1" spans="1:5" s="5" customFormat="1" ht="17.399999999999999" x14ac:dyDescent="0.25">
      <c r="A1" s="112" t="s">
        <v>17</v>
      </c>
      <c r="B1" s="2" t="s">
        <v>73</v>
      </c>
      <c r="C1" s="3">
        <v>0.19922400000000001</v>
      </c>
      <c r="D1" s="4" t="s">
        <v>1045</v>
      </c>
    </row>
    <row r="2" spans="1:5" s="5" customFormat="1" x14ac:dyDescent="0.25">
      <c r="A2" s="324" t="s">
        <v>74</v>
      </c>
      <c r="C2" s="3">
        <v>9.3095000000000001E-3</v>
      </c>
      <c r="D2" s="4" t="s">
        <v>1046</v>
      </c>
    </row>
    <row r="3" spans="1:5" x14ac:dyDescent="0.25">
      <c r="A3" s="154"/>
      <c r="B3" s="222"/>
      <c r="C3" s="142"/>
    </row>
    <row r="4" spans="1:5" s="10" customFormat="1" x14ac:dyDescent="0.3">
      <c r="A4" s="8" t="s">
        <v>75</v>
      </c>
      <c r="B4" s="9" t="s">
        <v>749</v>
      </c>
      <c r="C4" s="9" t="s">
        <v>77</v>
      </c>
      <c r="D4" s="9" t="s">
        <v>78</v>
      </c>
      <c r="E4" s="8" t="s">
        <v>79</v>
      </c>
    </row>
    <row r="5" spans="1:5" s="15" customFormat="1" ht="60" x14ac:dyDescent="0.25">
      <c r="A5" s="11" t="s">
        <v>80</v>
      </c>
      <c r="B5" s="12">
        <f>SUM(B6:B7)</f>
        <v>0</v>
      </c>
      <c r="C5" s="12">
        <f>SUM(C6:C7)</f>
        <v>0</v>
      </c>
      <c r="D5" s="13"/>
      <c r="E5" s="14"/>
    </row>
    <row r="6" spans="1:5" s="15" customFormat="1" ht="45" x14ac:dyDescent="0.25">
      <c r="A6" s="14" t="s">
        <v>81</v>
      </c>
      <c r="B6" s="16"/>
      <c r="C6" s="16"/>
      <c r="D6" s="13"/>
      <c r="E6" s="14"/>
    </row>
    <row r="7" spans="1:5" s="15" customFormat="1" ht="60" x14ac:dyDescent="0.25">
      <c r="A7" s="14" t="s">
        <v>84</v>
      </c>
      <c r="B7" s="17"/>
      <c r="C7" s="17"/>
      <c r="D7" s="13" t="s">
        <v>750</v>
      </c>
      <c r="E7" s="14" t="s">
        <v>165</v>
      </c>
    </row>
    <row r="8" spans="1:5" ht="30" x14ac:dyDescent="0.25">
      <c r="A8" s="11" t="s">
        <v>87</v>
      </c>
      <c r="B8" s="12">
        <f>SUM(B9:B11)</f>
        <v>0</v>
      </c>
      <c r="C8" s="12">
        <f>SUM(C9:C11)</f>
        <v>0</v>
      </c>
      <c r="D8" s="13"/>
      <c r="E8" s="14"/>
    </row>
    <row r="9" spans="1:5" ht="60" x14ac:dyDescent="0.25">
      <c r="A9" s="14" t="s">
        <v>88</v>
      </c>
      <c r="B9" s="16"/>
      <c r="C9" s="16"/>
      <c r="D9" s="13"/>
      <c r="E9" s="14"/>
    </row>
    <row r="10" spans="1:5" ht="60" x14ac:dyDescent="0.25">
      <c r="A10" s="14" t="s">
        <v>90</v>
      </c>
      <c r="B10" s="16"/>
      <c r="C10" s="16"/>
      <c r="D10" s="13" t="s">
        <v>751</v>
      </c>
      <c r="E10" s="14" t="s">
        <v>165</v>
      </c>
    </row>
    <row r="11" spans="1:5" x14ac:dyDescent="0.25">
      <c r="A11" s="14" t="s">
        <v>92</v>
      </c>
      <c r="B11" s="19"/>
      <c r="C11" s="19"/>
      <c r="D11" s="13"/>
      <c r="E11" s="14"/>
    </row>
    <row r="12" spans="1:5" ht="45" x14ac:dyDescent="0.25">
      <c r="A12" s="11" t="s">
        <v>93</v>
      </c>
      <c r="B12" s="12">
        <f>SUM(B13:B14)</f>
        <v>100000000000</v>
      </c>
      <c r="C12" s="12">
        <f>SUM(C13:C14)</f>
        <v>71326676.17689015</v>
      </c>
      <c r="D12" s="13"/>
      <c r="E12" s="14"/>
    </row>
    <row r="13" spans="1:5" ht="60" x14ac:dyDescent="0.25">
      <c r="A13" s="14" t="s">
        <v>94</v>
      </c>
      <c r="B13" s="23">
        <f>100*10^9</f>
        <v>100000000000</v>
      </c>
      <c r="C13" s="23">
        <f>B13/$B$36</f>
        <v>71326676.17689015</v>
      </c>
      <c r="D13" s="13" t="s">
        <v>752</v>
      </c>
      <c r="E13" s="14" t="s">
        <v>165</v>
      </c>
    </row>
    <row r="14" spans="1:5" x14ac:dyDescent="0.25">
      <c r="A14" s="14" t="s">
        <v>96</v>
      </c>
      <c r="B14" s="16"/>
      <c r="C14" s="16"/>
      <c r="D14" s="13"/>
      <c r="E14" s="14"/>
    </row>
    <row r="15" spans="1:5" ht="45" x14ac:dyDescent="0.25">
      <c r="A15" s="11" t="s">
        <v>97</v>
      </c>
      <c r="B15" s="12"/>
      <c r="C15" s="12"/>
      <c r="D15" s="13"/>
      <c r="E15" s="14"/>
    </row>
    <row r="16" spans="1:5" ht="105" x14ac:dyDescent="0.25">
      <c r="A16" s="11" t="s">
        <v>98</v>
      </c>
      <c r="B16" s="12">
        <f>300*1000000</f>
        <v>300000000</v>
      </c>
      <c r="C16" s="12">
        <f>B16/$B$36</f>
        <v>213980.02853067048</v>
      </c>
      <c r="D16" s="13" t="s">
        <v>753</v>
      </c>
      <c r="E16" s="14" t="s">
        <v>165</v>
      </c>
    </row>
    <row r="17" spans="1:5" x14ac:dyDescent="0.25">
      <c r="A17" s="13" t="s">
        <v>99</v>
      </c>
      <c r="B17" s="85"/>
      <c r="C17" s="23"/>
      <c r="D17" s="57"/>
      <c r="E17" s="14"/>
    </row>
    <row r="18" spans="1:5" x14ac:dyDescent="0.25">
      <c r="A18" s="13" t="s">
        <v>101</v>
      </c>
      <c r="B18" s="23"/>
      <c r="C18" s="23"/>
      <c r="D18" s="102"/>
      <c r="E18" s="13"/>
    </row>
    <row r="19" spans="1:5" ht="30" x14ac:dyDescent="0.25">
      <c r="A19" s="11" t="s">
        <v>103</v>
      </c>
      <c r="B19" s="12"/>
      <c r="C19" s="12"/>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643</v>
      </c>
      <c r="B23" s="16"/>
      <c r="C23" s="16"/>
      <c r="D23" s="13"/>
      <c r="E23" s="14"/>
    </row>
    <row r="24" spans="1:5" x14ac:dyDescent="0.25">
      <c r="A24" s="22" t="s">
        <v>110</v>
      </c>
      <c r="B24" s="23"/>
      <c r="C24" s="23"/>
      <c r="D24" s="24"/>
      <c r="E24" s="14"/>
    </row>
    <row r="25" spans="1:5" x14ac:dyDescent="0.25">
      <c r="A25" s="13" t="s">
        <v>109</v>
      </c>
      <c r="B25" s="16"/>
      <c r="C25" s="23"/>
      <c r="D25" s="13"/>
      <c r="E25" s="14"/>
    </row>
    <row r="26" spans="1:5" x14ac:dyDescent="0.25">
      <c r="A26" s="22" t="s">
        <v>111</v>
      </c>
      <c r="B26" s="12">
        <f>SUM(B27:B29)</f>
        <v>0</v>
      </c>
      <c r="C26" s="12">
        <f>SUM(C27:C29)</f>
        <v>0</v>
      </c>
      <c r="D26" s="13"/>
      <c r="E26" s="14"/>
    </row>
    <row r="27" spans="1:5" x14ac:dyDescent="0.25">
      <c r="A27" s="13" t="s">
        <v>112</v>
      </c>
      <c r="B27" s="16"/>
      <c r="C27" s="16"/>
      <c r="D27" s="13"/>
      <c r="E27" s="14"/>
    </row>
    <row r="28" spans="1:5" ht="60" x14ac:dyDescent="0.25">
      <c r="A28" s="13" t="s">
        <v>115</v>
      </c>
      <c r="B28" s="16"/>
      <c r="C28" s="16"/>
      <c r="D28" s="13" t="s">
        <v>754</v>
      </c>
      <c r="E28" s="14" t="s">
        <v>165</v>
      </c>
    </row>
    <row r="29" spans="1:5" x14ac:dyDescent="0.25">
      <c r="A29" s="13" t="s">
        <v>116</v>
      </c>
      <c r="B29" s="16">
        <f>SUM(B30:B31)</f>
        <v>0</v>
      </c>
      <c r="C29" s="16">
        <f>SUM(C30:C31)</f>
        <v>0</v>
      </c>
      <c r="D29" s="13"/>
      <c r="E29" s="14"/>
    </row>
    <row r="30" spans="1:5" x14ac:dyDescent="0.25">
      <c r="A30" s="13" t="s">
        <v>117</v>
      </c>
      <c r="B30" s="16"/>
      <c r="C30" s="16"/>
      <c r="D30" s="83"/>
      <c r="E30" s="24"/>
    </row>
    <row r="31" spans="1:5" x14ac:dyDescent="0.25">
      <c r="A31" s="13" t="s">
        <v>118</v>
      </c>
      <c r="B31" s="16"/>
      <c r="C31" s="16"/>
      <c r="D31" s="13"/>
      <c r="E31" s="14"/>
    </row>
    <row r="32" spans="1:5" x14ac:dyDescent="0.25">
      <c r="A32" s="11" t="s">
        <v>119</v>
      </c>
      <c r="B32" s="30"/>
      <c r="C32" s="12"/>
      <c r="D32" s="13"/>
      <c r="E32" s="14"/>
    </row>
    <row r="33" spans="1:5" x14ac:dyDescent="0.25">
      <c r="A33" s="31"/>
      <c r="B33" s="120"/>
      <c r="C33" s="120"/>
      <c r="D33" s="33"/>
      <c r="E33" s="34"/>
    </row>
    <row r="34" spans="1:5" x14ac:dyDescent="0.25">
      <c r="A34" s="35" t="s">
        <v>120</v>
      </c>
      <c r="B34" s="39">
        <f>SUM(B5,B8,B12,B15,B16)</f>
        <v>100300000000</v>
      </c>
      <c r="C34" s="39">
        <f>SUM(C5,C8,C12,C15,C16)</f>
        <v>71540656.205420822</v>
      </c>
    </row>
    <row r="35" spans="1:5" x14ac:dyDescent="0.25">
      <c r="A35" s="31"/>
      <c r="B35" s="39"/>
      <c r="C35" s="40"/>
    </row>
    <row r="36" spans="1:5" x14ac:dyDescent="0.25">
      <c r="A36" s="31" t="s">
        <v>121</v>
      </c>
      <c r="B36" s="88">
        <v>1402</v>
      </c>
      <c r="C36" s="42"/>
    </row>
    <row r="37" spans="1:5" x14ac:dyDescent="0.25">
      <c r="A37" s="43" t="s">
        <v>122</v>
      </c>
      <c r="B37" s="45">
        <v>104458270000000</v>
      </c>
      <c r="C37" s="45">
        <v>65994000000</v>
      </c>
    </row>
    <row r="38" spans="1:5" x14ac:dyDescent="0.25">
      <c r="A38" s="43" t="s">
        <v>123</v>
      </c>
      <c r="B38" s="45">
        <v>53708395</v>
      </c>
      <c r="C38" s="45"/>
    </row>
    <row r="39" spans="1:5" x14ac:dyDescent="0.25">
      <c r="A39" s="43"/>
      <c r="B39" s="44"/>
      <c r="C39" s="44"/>
    </row>
    <row r="40" spans="1:5" x14ac:dyDescent="0.25">
      <c r="A40" s="5"/>
      <c r="B40" s="46" t="s">
        <v>755</v>
      </c>
      <c r="C40" s="47" t="s">
        <v>125</v>
      </c>
    </row>
    <row r="41" spans="1:5" x14ac:dyDescent="0.25">
      <c r="A41" s="43" t="s">
        <v>126</v>
      </c>
      <c r="B41" s="48">
        <f>$B37/$B$38</f>
        <v>1944915.1291897662</v>
      </c>
      <c r="C41" s="48">
        <f>$C37/$B$38</f>
        <v>1228.7464557449539</v>
      </c>
    </row>
    <row r="42" spans="1:5" x14ac:dyDescent="0.25">
      <c r="A42" s="43" t="s">
        <v>127</v>
      </c>
      <c r="B42" s="49">
        <f>($B34/$B37)*100</f>
        <v>9.6019204606777431E-2</v>
      </c>
      <c r="C42" s="49"/>
    </row>
    <row r="43" spans="1:5" x14ac:dyDescent="0.25">
      <c r="A43" s="43" t="s">
        <v>128</v>
      </c>
      <c r="B43" s="50">
        <f>$B34/$B$38</f>
        <v>1867.4920373248913</v>
      </c>
      <c r="C43" s="50">
        <f>$C34/$B$38</f>
        <v>1.3320199980919336</v>
      </c>
    </row>
    <row r="44" spans="1:5" x14ac:dyDescent="0.25">
      <c r="A44" s="43"/>
      <c r="B44" s="50"/>
      <c r="C44" s="50"/>
    </row>
    <row r="45" spans="1:5" x14ac:dyDescent="0.25">
      <c r="A45" s="336" t="s">
        <v>1055</v>
      </c>
      <c r="B45" s="50"/>
      <c r="C45" s="50"/>
    </row>
    <row r="46" spans="1:5" x14ac:dyDescent="0.25">
      <c r="A46" s="43"/>
      <c r="B46" s="50"/>
      <c r="C46" s="50"/>
    </row>
    <row r="47" spans="1:5" x14ac:dyDescent="0.25">
      <c r="A47" s="43"/>
      <c r="B47" s="51"/>
    </row>
    <row r="48" spans="1:5" x14ac:dyDescent="0.25">
      <c r="A48" s="43" t="s">
        <v>129</v>
      </c>
    </row>
    <row r="49" spans="1:5" ht="15.45" customHeight="1" x14ac:dyDescent="0.25">
      <c r="A49" s="53" t="s">
        <v>664</v>
      </c>
      <c r="B49" s="53"/>
      <c r="C49" s="53"/>
      <c r="D49" s="53"/>
      <c r="E49" s="53"/>
    </row>
    <row r="50" spans="1:5" ht="15.45" customHeight="1" x14ac:dyDescent="0.25">
      <c r="A50" s="53"/>
      <c r="B50" s="53"/>
      <c r="C50" s="53"/>
      <c r="D50" s="53"/>
      <c r="E50" s="53"/>
    </row>
    <row r="52" spans="1:5" x14ac:dyDescent="0.25">
      <c r="A52" s="43" t="s">
        <v>131</v>
      </c>
    </row>
    <row r="53" spans="1:5" s="38" customFormat="1" x14ac:dyDescent="0.3">
      <c r="A53" s="366" t="s">
        <v>756</v>
      </c>
      <c r="B53" s="366"/>
      <c r="C53" s="366"/>
      <c r="D53" s="366"/>
      <c r="E53" s="366"/>
    </row>
    <row r="54" spans="1:5" s="38" customFormat="1" x14ac:dyDescent="0.3">
      <c r="A54" s="366"/>
      <c r="B54" s="366"/>
      <c r="C54" s="366"/>
      <c r="D54" s="366"/>
      <c r="E54" s="366"/>
    </row>
    <row r="55" spans="1:5" s="38" customFormat="1" x14ac:dyDescent="0.25">
      <c r="A55" s="37" t="s">
        <v>757</v>
      </c>
      <c r="B55" s="37"/>
      <c r="C55" s="147"/>
      <c r="D55" s="37"/>
      <c r="E55" s="37"/>
    </row>
    <row r="56" spans="1:5" s="38" customFormat="1" x14ac:dyDescent="0.25">
      <c r="A56" s="37" t="s">
        <v>758</v>
      </c>
      <c r="B56" s="37"/>
      <c r="C56" s="147"/>
      <c r="D56" s="37"/>
      <c r="E56" s="37"/>
    </row>
    <row r="57" spans="1:5" s="38" customFormat="1" x14ac:dyDescent="0.3">
      <c r="A57" s="364" t="s">
        <v>759</v>
      </c>
      <c r="B57" s="364"/>
      <c r="C57" s="364"/>
      <c r="D57" s="364"/>
      <c r="E57" s="364"/>
    </row>
    <row r="58" spans="1:5" s="38" customFormat="1" x14ac:dyDescent="0.3">
      <c r="A58" s="364"/>
      <c r="B58" s="364"/>
      <c r="C58" s="364"/>
      <c r="D58" s="364"/>
      <c r="E58" s="364"/>
    </row>
    <row r="59" spans="1:5" s="38" customFormat="1" x14ac:dyDescent="0.25">
      <c r="A59" s="5" t="s">
        <v>740</v>
      </c>
      <c r="D59" s="37"/>
    </row>
    <row r="60" spans="1:5" s="38" customFormat="1" x14ac:dyDescent="0.25">
      <c r="A60" s="5"/>
      <c r="D60" s="37"/>
    </row>
    <row r="62" spans="1:5" x14ac:dyDescent="0.25">
      <c r="A62" s="364" t="s">
        <v>1060</v>
      </c>
      <c r="B62" s="364"/>
      <c r="C62" s="364"/>
      <c r="D62" s="364"/>
      <c r="E62" s="364"/>
    </row>
    <row r="63" spans="1:5" x14ac:dyDescent="0.25">
      <c r="A63" s="364"/>
      <c r="B63" s="364"/>
      <c r="C63" s="364"/>
      <c r="D63" s="364"/>
      <c r="E63" s="364"/>
    </row>
  </sheetData>
  <sheetProtection algorithmName="SHA-512" hashValue="tDi/SRmgtKJmEkyQ04EvEtc2x8XvUBp2uXaKalcvyHs5U+m+/LL7v3V/p43qwa7T4lrLPsvyijSyg3Yes/66BA==" saltValue="/rnWzWFzJahLGPJy5xRGXg==" spinCount="100000" sheet="1" formatCells="0" formatColumns="0" formatRows="0" insertColumns="0" insertRows="0" insertHyperlinks="0" deleteColumns="0" deleteRows="0" sort="0" autoFilter="0" pivotTables="0"/>
  <mergeCells count="3">
    <mergeCell ref="A57:E58"/>
    <mergeCell ref="A62:E63"/>
    <mergeCell ref="A53:E54"/>
  </mergeCells>
  <hyperlinks>
    <hyperlink ref="A2" location="Index!B27" display="[Back to Index]" xr:uid="{ED7B0EAB-F0B0-470B-A554-960B5900C03A}"/>
  </hyperlinks>
  <pageMargins left="0.7" right="0.7" top="0.75" bottom="0.75" header="0.3" footer="0.3"/>
  <pageSetup orientation="portrait"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4729-73AE-4386-AC2A-7C72CB613F48}">
  <sheetPr codeName="Sheet70">
    <tabColor rgb="FF98E1F2"/>
  </sheetPr>
  <dimension ref="A1:E73"/>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4" customWidth="1"/>
    <col min="6" max="16384" width="8.6640625" style="18"/>
  </cols>
  <sheetData>
    <row r="1" spans="1:5" s="5" customFormat="1" ht="17.399999999999999" x14ac:dyDescent="0.25">
      <c r="A1" s="112" t="s">
        <v>65</v>
      </c>
      <c r="B1" s="113"/>
      <c r="C1" s="114"/>
      <c r="D1" s="70"/>
      <c r="E1" s="126"/>
    </row>
    <row r="2" spans="1:5" s="5" customFormat="1" x14ac:dyDescent="0.25">
      <c r="A2" s="324" t="s">
        <v>74</v>
      </c>
      <c r="C2" s="114"/>
      <c r="D2" s="70"/>
      <c r="E2" s="126"/>
    </row>
    <row r="3" spans="1:5" s="5" customFormat="1" x14ac:dyDescent="0.3">
      <c r="B3" s="38"/>
      <c r="D3" s="7"/>
      <c r="E3" s="126"/>
    </row>
    <row r="4" spans="1:5" s="10" customFormat="1" x14ac:dyDescent="0.3">
      <c r="A4" s="8" t="s">
        <v>75</v>
      </c>
      <c r="B4" s="9" t="s">
        <v>251</v>
      </c>
      <c r="C4" s="9" t="s">
        <v>77</v>
      </c>
      <c r="D4" s="115" t="s">
        <v>78</v>
      </c>
      <c r="E4" s="116" t="s">
        <v>79</v>
      </c>
    </row>
    <row r="5" spans="1:5" s="15" customFormat="1" ht="60" x14ac:dyDescent="0.25">
      <c r="A5" s="11" t="s">
        <v>80</v>
      </c>
      <c r="B5" s="12">
        <f>SUM(B6:B7)</f>
        <v>0</v>
      </c>
      <c r="C5" s="12">
        <f>SUM(C6:C7)</f>
        <v>0</v>
      </c>
      <c r="D5" s="127"/>
      <c r="E5" s="13"/>
    </row>
    <row r="6" spans="1:5" s="15" customFormat="1" ht="64.2" customHeight="1" x14ac:dyDescent="0.25">
      <c r="A6" s="14" t="s">
        <v>81</v>
      </c>
      <c r="B6" s="128"/>
      <c r="C6" s="16"/>
      <c r="D6" s="13" t="s">
        <v>266</v>
      </c>
      <c r="E6" s="13" t="s">
        <v>267</v>
      </c>
    </row>
    <row r="7" spans="1:5" s="15" customFormat="1" ht="78" customHeight="1" x14ac:dyDescent="0.25">
      <c r="A7" s="14" t="s">
        <v>84</v>
      </c>
      <c r="B7" s="17"/>
      <c r="C7" s="17"/>
      <c r="D7" s="13" t="s">
        <v>268</v>
      </c>
      <c r="E7" s="13" t="s">
        <v>267</v>
      </c>
    </row>
    <row r="8" spans="1:5" ht="30" x14ac:dyDescent="0.25">
      <c r="A8" s="11" t="s">
        <v>87</v>
      </c>
      <c r="B8" s="12">
        <f>SUM(B9:B11)</f>
        <v>3870000000000</v>
      </c>
      <c r="C8" s="12">
        <f>SUM(C9:C11)</f>
        <v>4280973451327.4336</v>
      </c>
      <c r="D8" s="13"/>
      <c r="E8" s="13"/>
    </row>
    <row r="9" spans="1:5" ht="127.35" customHeight="1" x14ac:dyDescent="0.25">
      <c r="A9" s="14" t="s">
        <v>88</v>
      </c>
      <c r="B9" s="16">
        <f>(120+750)*10^9</f>
        <v>870000000000</v>
      </c>
      <c r="C9" s="16">
        <f>B9/$B$36</f>
        <v>962389380530.97339</v>
      </c>
      <c r="D9" s="24" t="s">
        <v>269</v>
      </c>
      <c r="E9" s="13" t="s">
        <v>257</v>
      </c>
    </row>
    <row r="10" spans="1:5" ht="196.2" customHeight="1" x14ac:dyDescent="0.25">
      <c r="A10" s="14" t="s">
        <v>90</v>
      </c>
      <c r="B10" s="128">
        <f>3*10^12</f>
        <v>3000000000000</v>
      </c>
      <c r="C10" s="19">
        <f>B10/$B$36</f>
        <v>3318584070796.46</v>
      </c>
      <c r="D10" s="13" t="s">
        <v>270</v>
      </c>
      <c r="E10" s="83" t="s">
        <v>271</v>
      </c>
    </row>
    <row r="11" spans="1:5" x14ac:dyDescent="0.25">
      <c r="A11" s="14" t="s">
        <v>92</v>
      </c>
      <c r="B11" s="16"/>
      <c r="C11" s="16">
        <f>B11/$B$36</f>
        <v>0</v>
      </c>
      <c r="D11" s="56"/>
      <c r="E11" s="13"/>
    </row>
    <row r="12" spans="1:5" ht="45" x14ac:dyDescent="0.25">
      <c r="A12" s="11" t="s">
        <v>93</v>
      </c>
      <c r="B12" s="12">
        <f>SUM(B13:B14)</f>
        <v>0</v>
      </c>
      <c r="C12" s="12">
        <f>SUM(C13:C14)</f>
        <v>0</v>
      </c>
      <c r="E12" s="13"/>
    </row>
    <row r="13" spans="1:5" ht="45" x14ac:dyDescent="0.25">
      <c r="A13" s="14" t="s">
        <v>94</v>
      </c>
      <c r="B13" s="16"/>
      <c r="C13" s="16"/>
      <c r="D13" s="13"/>
      <c r="E13" s="13"/>
    </row>
    <row r="14" spans="1:5" x14ac:dyDescent="0.25">
      <c r="A14" s="14" t="s">
        <v>96</v>
      </c>
      <c r="B14" s="16"/>
      <c r="C14" s="16"/>
      <c r="E14" s="13"/>
    </row>
    <row r="15" spans="1:5" ht="45" x14ac:dyDescent="0.25">
      <c r="A15" s="11" t="s">
        <v>97</v>
      </c>
      <c r="B15" s="12"/>
      <c r="C15" s="12"/>
      <c r="D15" s="13"/>
      <c r="E15" s="13"/>
    </row>
    <row r="16" spans="1:5" ht="30" x14ac:dyDescent="0.25">
      <c r="A16" s="11" t="s">
        <v>98</v>
      </c>
      <c r="B16" s="12">
        <f>SUM(B17:B18)</f>
        <v>0</v>
      </c>
      <c r="C16" s="12">
        <f>SUM(C17:C18)</f>
        <v>0</v>
      </c>
      <c r="D16" s="13"/>
      <c r="E16" s="13"/>
    </row>
    <row r="17" spans="1:5" ht="19.95" customHeight="1" x14ac:dyDescent="0.25">
      <c r="A17" s="13" t="s">
        <v>99</v>
      </c>
      <c r="B17" s="129"/>
      <c r="C17" s="16">
        <f>B17/$B$36</f>
        <v>0</v>
      </c>
      <c r="D17" s="56"/>
      <c r="E17" s="24"/>
    </row>
    <row r="18" spans="1:5" x14ac:dyDescent="0.25">
      <c r="A18" s="13" t="s">
        <v>101</v>
      </c>
      <c r="B18" s="16"/>
      <c r="C18" s="16">
        <f>B18/$B$36</f>
        <v>0</v>
      </c>
      <c r="D18" s="13"/>
      <c r="E18" s="13"/>
    </row>
    <row r="19" spans="1:5" ht="30" x14ac:dyDescent="0.25">
      <c r="A19" s="130" t="s">
        <v>103</v>
      </c>
      <c r="B19" s="131"/>
      <c r="C19" s="131"/>
      <c r="D19" s="25"/>
      <c r="E19" s="25"/>
    </row>
    <row r="20" spans="1:5" x14ac:dyDescent="0.25">
      <c r="A20" s="29" t="s">
        <v>104</v>
      </c>
      <c r="B20" s="119"/>
      <c r="C20" s="119"/>
      <c r="D20" s="25"/>
      <c r="E20" s="25"/>
    </row>
    <row r="21" spans="1:5" ht="30" x14ac:dyDescent="0.25">
      <c r="A21" s="22" t="s">
        <v>105</v>
      </c>
      <c r="B21" s="12">
        <f>B22+B24</f>
        <v>0</v>
      </c>
      <c r="C21" s="12">
        <f>C22+C24</f>
        <v>0</v>
      </c>
      <c r="D21" s="13"/>
      <c r="E21" s="13"/>
    </row>
    <row r="22" spans="1:5" x14ac:dyDescent="0.25">
      <c r="A22" s="22" t="s">
        <v>108</v>
      </c>
      <c r="B22" s="16"/>
      <c r="C22" s="16"/>
      <c r="D22" s="56"/>
      <c r="E22" s="13"/>
    </row>
    <row r="23" spans="1:5" x14ac:dyDescent="0.25">
      <c r="A23" s="13" t="s">
        <v>109</v>
      </c>
      <c r="B23" s="16">
        <v>0</v>
      </c>
      <c r="C23" s="16"/>
      <c r="D23" s="56"/>
      <c r="E23" s="13"/>
    </row>
    <row r="24" spans="1:5" ht="60" x14ac:dyDescent="0.25">
      <c r="A24" s="22" t="s">
        <v>110</v>
      </c>
      <c r="B24" s="16"/>
      <c r="C24" s="16"/>
      <c r="D24" s="13" t="s">
        <v>272</v>
      </c>
      <c r="E24" s="83" t="s">
        <v>273</v>
      </c>
    </row>
    <row r="25" spans="1:5" x14ac:dyDescent="0.25">
      <c r="A25" s="13" t="s">
        <v>109</v>
      </c>
      <c r="B25" s="16"/>
      <c r="C25" s="16"/>
      <c r="D25" s="13"/>
      <c r="E25" s="14"/>
    </row>
    <row r="26" spans="1:5" x14ac:dyDescent="0.25">
      <c r="A26" s="22" t="s">
        <v>111</v>
      </c>
      <c r="B26" s="12">
        <f>SUM(B27:B29)</f>
        <v>126035680000</v>
      </c>
      <c r="C26" s="12">
        <f>SUM(C27:C29)</f>
        <v>139420000000</v>
      </c>
      <c r="D26" s="13"/>
      <c r="E26" s="118"/>
    </row>
    <row r="27" spans="1:5" s="104" customFormat="1" ht="60" x14ac:dyDescent="0.25">
      <c r="A27" s="13" t="s">
        <v>112</v>
      </c>
      <c r="B27" s="19">
        <f>C27*B36</f>
        <v>126035680000</v>
      </c>
      <c r="C27" s="19">
        <f>139.42*10^9</f>
        <v>139420000000</v>
      </c>
      <c r="D27" s="13" t="s">
        <v>274</v>
      </c>
      <c r="E27" s="34" t="s">
        <v>275</v>
      </c>
    </row>
    <row r="28" spans="1:5" s="104" customFormat="1" x14ac:dyDescent="0.25">
      <c r="A28" s="13" t="s">
        <v>115</v>
      </c>
      <c r="B28" s="16"/>
      <c r="C28" s="16"/>
      <c r="D28" s="56"/>
      <c r="E28" s="56"/>
    </row>
    <row r="29" spans="1:5" s="104" customFormat="1" x14ac:dyDescent="0.25">
      <c r="A29" s="25" t="s">
        <v>116</v>
      </c>
      <c r="B29" s="119">
        <f>SUM(B30:B31)</f>
        <v>0</v>
      </c>
      <c r="C29" s="119">
        <f>SUM(C30:C31)</f>
        <v>0</v>
      </c>
      <c r="D29" s="25"/>
      <c r="E29" s="29"/>
    </row>
    <row r="30" spans="1:5" s="104" customFormat="1" x14ac:dyDescent="0.25">
      <c r="A30" s="25" t="s">
        <v>117</v>
      </c>
      <c r="B30" s="119"/>
      <c r="C30" s="119"/>
      <c r="D30" s="27"/>
      <c r="E30" s="28"/>
    </row>
    <row r="31" spans="1:5" s="104" customFormat="1" x14ac:dyDescent="0.25">
      <c r="A31" s="25" t="s">
        <v>118</v>
      </c>
      <c r="B31" s="119"/>
      <c r="C31" s="119"/>
      <c r="D31" s="25"/>
      <c r="E31" s="29"/>
    </row>
    <row r="32" spans="1:5" x14ac:dyDescent="0.25">
      <c r="A32" s="11" t="s">
        <v>119</v>
      </c>
      <c r="B32" s="12">
        <v>0</v>
      </c>
      <c r="C32" s="12">
        <f>B32/$B$36</f>
        <v>0</v>
      </c>
      <c r="D32" s="56"/>
      <c r="E32" s="14"/>
    </row>
    <row r="33" spans="1:5" x14ac:dyDescent="0.25">
      <c r="A33" s="31"/>
      <c r="B33" s="120"/>
      <c r="C33" s="120"/>
      <c r="D33" s="33"/>
    </row>
    <row r="34" spans="1:5" x14ac:dyDescent="0.25">
      <c r="A34" s="35" t="s">
        <v>120</v>
      </c>
      <c r="B34" s="132">
        <f>(SUM(B5,B8,B12,B15,B16))</f>
        <v>3870000000000</v>
      </c>
      <c r="C34" s="132">
        <f>(SUM(C5,C8,C12,C15,C16))</f>
        <v>4280973451327.4336</v>
      </c>
    </row>
    <row r="35" spans="1:5" x14ac:dyDescent="0.25">
      <c r="A35" s="31"/>
      <c r="B35" s="39"/>
      <c r="C35" s="40"/>
    </row>
    <row r="36" spans="1:5" x14ac:dyDescent="0.25">
      <c r="A36" s="31" t="s">
        <v>121</v>
      </c>
      <c r="B36" s="122">
        <v>0.90400000000000003</v>
      </c>
      <c r="C36" s="123"/>
    </row>
    <row r="37" spans="1:5" x14ac:dyDescent="0.25">
      <c r="A37" s="43"/>
      <c r="B37" s="124"/>
      <c r="C37" s="124"/>
    </row>
    <row r="38" spans="1:5" x14ac:dyDescent="0.25">
      <c r="A38" s="43"/>
      <c r="B38" s="44"/>
      <c r="C38" s="44"/>
    </row>
    <row r="39" spans="1:5" x14ac:dyDescent="0.25">
      <c r="A39" s="43"/>
      <c r="B39" s="44"/>
      <c r="C39" s="44"/>
    </row>
    <row r="40" spans="1:5" x14ac:dyDescent="0.25">
      <c r="A40" s="5"/>
      <c r="B40" s="46"/>
      <c r="C40" s="47"/>
      <c r="D40" s="133"/>
    </row>
    <row r="41" spans="1:5" x14ac:dyDescent="0.25">
      <c r="A41" s="43"/>
      <c r="B41" s="49"/>
      <c r="C41" s="49"/>
      <c r="D41" s="133"/>
    </row>
    <row r="42" spans="1:5" x14ac:dyDescent="0.25">
      <c r="A42" s="43"/>
      <c r="B42" s="49"/>
      <c r="C42" s="49"/>
      <c r="D42" s="133"/>
    </row>
    <row r="43" spans="1:5" x14ac:dyDescent="0.25">
      <c r="A43" s="43"/>
      <c r="B43" s="50"/>
      <c r="C43" s="50"/>
    </row>
    <row r="44" spans="1:5" x14ac:dyDescent="0.25">
      <c r="A44" s="43"/>
      <c r="B44" s="50"/>
      <c r="C44" s="50"/>
    </row>
    <row r="45" spans="1:5" x14ac:dyDescent="0.25">
      <c r="A45" s="43"/>
      <c r="B45" s="51"/>
    </row>
    <row r="46" spans="1:5" x14ac:dyDescent="0.25">
      <c r="A46" s="43"/>
    </row>
    <row r="47" spans="1:5" x14ac:dyDescent="0.25">
      <c r="A47" s="7"/>
    </row>
    <row r="48" spans="1:5" s="37" customFormat="1" x14ac:dyDescent="0.25">
      <c r="A48" s="125"/>
      <c r="B48" s="70"/>
      <c r="C48" s="70"/>
      <c r="D48" s="70"/>
      <c r="E48" s="33"/>
    </row>
    <row r="49" spans="1:5" s="37" customFormat="1" x14ac:dyDescent="0.25">
      <c r="A49" s="7"/>
      <c r="B49" s="70"/>
      <c r="C49" s="70"/>
      <c r="D49" s="70"/>
      <c r="E49" s="33"/>
    </row>
    <row r="51" spans="1:5" x14ac:dyDescent="0.25">
      <c r="A51" s="43"/>
    </row>
    <row r="52" spans="1:5" x14ac:dyDescent="0.25">
      <c r="A52" s="5"/>
      <c r="B52" s="18"/>
      <c r="C52" s="18"/>
      <c r="D52" s="38"/>
    </row>
    <row r="53" spans="1:5" x14ac:dyDescent="0.25">
      <c r="A53" s="5"/>
      <c r="B53" s="34"/>
      <c r="C53" s="34"/>
      <c r="D53" s="34"/>
    </row>
    <row r="55" spans="1:5" x14ac:dyDescent="0.25">
      <c r="A55" s="5"/>
    </row>
    <row r="56" spans="1:5" x14ac:dyDescent="0.25">
      <c r="A56" s="5"/>
    </row>
    <row r="57" spans="1:5" s="38" customFormat="1" x14ac:dyDescent="0.3">
      <c r="A57" s="5"/>
      <c r="D57" s="70"/>
      <c r="E57" s="34"/>
    </row>
    <row r="58" spans="1:5" s="38" customFormat="1" x14ac:dyDescent="0.3">
      <c r="A58" s="5"/>
      <c r="D58" s="70"/>
      <c r="E58" s="34"/>
    </row>
    <row r="59" spans="1:5" s="38" customFormat="1" x14ac:dyDescent="0.3">
      <c r="A59" s="5"/>
      <c r="D59" s="70"/>
      <c r="E59" s="34"/>
    </row>
    <row r="60" spans="1:5" s="38" customFormat="1" x14ac:dyDescent="0.3">
      <c r="A60" s="5"/>
      <c r="D60" s="70"/>
      <c r="E60" s="34"/>
    </row>
    <row r="61" spans="1:5" s="38" customFormat="1" x14ac:dyDescent="0.3">
      <c r="A61" s="5"/>
      <c r="D61" s="70"/>
      <c r="E61" s="34"/>
    </row>
    <row r="62" spans="1:5" s="38" customFormat="1" x14ac:dyDescent="0.3">
      <c r="A62" s="5"/>
      <c r="D62" s="70"/>
      <c r="E62" s="34"/>
    </row>
    <row r="63" spans="1:5" s="38" customFormat="1" x14ac:dyDescent="0.3">
      <c r="A63" s="5"/>
      <c r="D63" s="70"/>
      <c r="E63" s="34"/>
    </row>
    <row r="64" spans="1:5" s="38" customFormat="1" x14ac:dyDescent="0.3">
      <c r="A64" s="5"/>
      <c r="D64" s="70"/>
      <c r="E64" s="34"/>
    </row>
    <row r="65" spans="1:5" s="38" customFormat="1" x14ac:dyDescent="0.3">
      <c r="A65" s="5"/>
      <c r="D65" s="70"/>
      <c r="E65" s="34"/>
    </row>
    <row r="66" spans="1:5" s="38" customFormat="1" x14ac:dyDescent="0.3">
      <c r="A66" s="5"/>
      <c r="D66" s="70"/>
      <c r="E66" s="34"/>
    </row>
    <row r="67" spans="1:5" s="38" customFormat="1" x14ac:dyDescent="0.3">
      <c r="A67" s="5"/>
      <c r="D67" s="70"/>
      <c r="E67" s="34"/>
    </row>
    <row r="68" spans="1:5" s="38" customFormat="1" x14ac:dyDescent="0.3">
      <c r="A68" s="5"/>
      <c r="D68" s="70"/>
      <c r="E68" s="34"/>
    </row>
    <row r="69" spans="1:5" s="38" customFormat="1" x14ac:dyDescent="0.3">
      <c r="A69" s="5"/>
      <c r="D69" s="70"/>
      <c r="E69" s="34"/>
    </row>
    <row r="70" spans="1:5" s="38" customFormat="1" x14ac:dyDescent="0.3">
      <c r="A70" s="5"/>
      <c r="D70" s="70"/>
      <c r="E70" s="34"/>
    </row>
    <row r="71" spans="1:5" s="38" customFormat="1" x14ac:dyDescent="0.3">
      <c r="A71" s="5"/>
      <c r="D71" s="70"/>
      <c r="E71" s="34"/>
    </row>
    <row r="72" spans="1:5" s="38" customFormat="1" x14ac:dyDescent="0.3">
      <c r="A72" s="5"/>
      <c r="D72" s="70"/>
      <c r="E72" s="34"/>
    </row>
    <row r="73" spans="1:5" s="38" customFormat="1" x14ac:dyDescent="0.3">
      <c r="A73" s="5"/>
      <c r="D73" s="70"/>
      <c r="E73" s="34"/>
    </row>
  </sheetData>
  <sheetProtection algorithmName="SHA-512" hashValue="SwTc6Vu8uzwYGYjcSL9Ezb3JalSY3djWphas1a3/MbqTEQiigCueigbzMlXKfNW2Szw9D4eX5qfe8cuht4D5bQ==" saltValue="cCyQIAHZR87uE6FgBTpDgA==" spinCount="100000" sheet="1" formatCells="0" formatColumns="0" formatRows="0" insertColumns="0" insertRows="0" insertHyperlinks="0" deleteColumns="0" deleteRows="0" sort="0" autoFilter="0" pivotTables="0"/>
  <hyperlinks>
    <hyperlink ref="A2" location="Index!H46" display="[Back to Index]" xr:uid="{7C8D05B2-D4D7-4E7E-AF09-001BA47AC2DA}"/>
  </hyperlinks>
  <pageMargins left="0.7" right="0.7" top="0.75" bottom="0.75" header="0.3" footer="0.3"/>
  <pageSetup orientation="portrait"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DA2D6-85B4-4710-B266-AFC3A6A5F899}">
  <sheetPr codeName="Sheet71">
    <tabColor rgb="FF98E1F2"/>
  </sheetPr>
  <dimension ref="A1:E74"/>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77734375" style="38" customWidth="1"/>
    <col min="2" max="2" width="27.44140625" style="38" customWidth="1"/>
    <col min="3" max="3" width="27.5546875" style="38" customWidth="1"/>
    <col min="4" max="4" width="95.5546875" style="70" customWidth="1"/>
    <col min="5" max="5" width="40.5546875" style="38" customWidth="1"/>
    <col min="6" max="16384" width="8.6640625" style="18"/>
  </cols>
  <sheetData>
    <row r="1" spans="1:5" s="5" customFormat="1" ht="17.399999999999999" x14ac:dyDescent="0.25">
      <c r="A1" s="112" t="s">
        <v>68</v>
      </c>
      <c r="B1" s="113"/>
      <c r="C1" s="114"/>
      <c r="D1" s="70"/>
    </row>
    <row r="2" spans="1:5" s="5" customFormat="1" x14ac:dyDescent="0.25">
      <c r="A2" s="324" t="s">
        <v>74</v>
      </c>
      <c r="C2" s="114"/>
      <c r="D2" s="70"/>
    </row>
    <row r="3" spans="1:5" s="5" customFormat="1" x14ac:dyDescent="0.3">
      <c r="B3" s="38"/>
      <c r="D3" s="7"/>
    </row>
    <row r="4" spans="1:5" s="10" customFormat="1" x14ac:dyDescent="0.3">
      <c r="A4" s="8" t="s">
        <v>75</v>
      </c>
      <c r="B4" s="9" t="s">
        <v>251</v>
      </c>
      <c r="C4" s="9" t="s">
        <v>77</v>
      </c>
      <c r="D4" s="115" t="s">
        <v>78</v>
      </c>
      <c r="E4" s="116" t="s">
        <v>79</v>
      </c>
    </row>
    <row r="5" spans="1:5" s="15" customFormat="1" ht="60" x14ac:dyDescent="0.25">
      <c r="A5" s="11" t="s">
        <v>80</v>
      </c>
      <c r="B5" s="12">
        <f>SUM(B6:B7)</f>
        <v>10000000000</v>
      </c>
      <c r="C5" s="12">
        <f>SUM(C6:C7)</f>
        <v>11061946902.654867</v>
      </c>
      <c r="D5" s="13"/>
      <c r="E5" s="14"/>
    </row>
    <row r="6" spans="1:5" s="15" customFormat="1" ht="70.95" customHeight="1" x14ac:dyDescent="0.25">
      <c r="A6" s="14" t="s">
        <v>81</v>
      </c>
      <c r="B6" s="16">
        <f>10*10^9</f>
        <v>10000000000</v>
      </c>
      <c r="C6" s="16">
        <f>B6/$B$36</f>
        <v>11061946902.654867</v>
      </c>
      <c r="D6" s="13" t="s">
        <v>252</v>
      </c>
      <c r="E6" s="83" t="s">
        <v>253</v>
      </c>
    </row>
    <row r="7" spans="1:5" s="15" customFormat="1" ht="45" x14ac:dyDescent="0.25">
      <c r="A7" s="14" t="s">
        <v>84</v>
      </c>
      <c r="B7" s="17"/>
      <c r="C7" s="17"/>
      <c r="D7" s="13"/>
      <c r="E7" s="14"/>
    </row>
    <row r="8" spans="1:5" ht="30" x14ac:dyDescent="0.25">
      <c r="A8" s="11" t="s">
        <v>87</v>
      </c>
      <c r="B8" s="12">
        <f>SUM(B9:B11)</f>
        <v>46000000000</v>
      </c>
      <c r="C8" s="12">
        <f>SUM(C9:C11)</f>
        <v>50884955752.212387</v>
      </c>
      <c r="D8" s="13"/>
      <c r="E8" s="14"/>
    </row>
    <row r="9" spans="1:5" ht="64.8" customHeight="1" x14ac:dyDescent="0.25">
      <c r="A9" s="14" t="s">
        <v>88</v>
      </c>
      <c r="B9" s="16"/>
      <c r="C9" s="19"/>
      <c r="D9" s="33"/>
      <c r="E9" s="14"/>
    </row>
    <row r="10" spans="1:5" ht="45" x14ac:dyDescent="0.25">
      <c r="A10" s="14" t="s">
        <v>90</v>
      </c>
      <c r="B10" s="16"/>
      <c r="C10" s="16"/>
      <c r="D10" s="13"/>
      <c r="E10" s="117"/>
    </row>
    <row r="11" spans="1:5" ht="386.55" customHeight="1" x14ac:dyDescent="0.25">
      <c r="A11" s="14" t="s">
        <v>92</v>
      </c>
      <c r="B11" s="16">
        <f>(1+20+25)*10^9</f>
        <v>46000000000</v>
      </c>
      <c r="C11" s="16">
        <f>B11/$B$36</f>
        <v>50884955752.212387</v>
      </c>
      <c r="D11" s="34" t="s">
        <v>254</v>
      </c>
      <c r="E11" s="14" t="s">
        <v>255</v>
      </c>
    </row>
    <row r="12" spans="1:5" ht="45" x14ac:dyDescent="0.25">
      <c r="A12" s="11" t="s">
        <v>93</v>
      </c>
      <c r="B12" s="12">
        <f>SUM(B13:B14)</f>
        <v>250000000000</v>
      </c>
      <c r="C12" s="12">
        <f>SUM(C13:C14)</f>
        <v>276548672566.37164</v>
      </c>
      <c r="D12" s="13"/>
      <c r="E12" s="14"/>
    </row>
    <row r="13" spans="1:5" ht="186.6" customHeight="1" x14ac:dyDescent="0.25">
      <c r="A13" s="14" t="s">
        <v>94</v>
      </c>
      <c r="B13" s="16">
        <f>(10+240)*10^9</f>
        <v>250000000000</v>
      </c>
      <c r="C13" s="16">
        <f>B13/$B$36</f>
        <v>276548672566.37164</v>
      </c>
      <c r="D13" s="13" t="s">
        <v>256</v>
      </c>
      <c r="E13" s="14" t="s">
        <v>257</v>
      </c>
    </row>
    <row r="14" spans="1:5" x14ac:dyDescent="0.25">
      <c r="A14" s="14" t="s">
        <v>96</v>
      </c>
      <c r="B14" s="16"/>
      <c r="C14" s="16"/>
      <c r="E14" s="14"/>
    </row>
    <row r="15" spans="1:5" ht="45" x14ac:dyDescent="0.25">
      <c r="A15" s="11" t="s">
        <v>97</v>
      </c>
      <c r="B15" s="12"/>
      <c r="C15" s="12"/>
      <c r="D15" s="13"/>
      <c r="E15" s="14"/>
    </row>
    <row r="16" spans="1:5" ht="30" x14ac:dyDescent="0.25">
      <c r="A16" s="11" t="s">
        <v>98</v>
      </c>
      <c r="B16" s="12">
        <f>SUM(B17:B18)</f>
        <v>179059000000</v>
      </c>
      <c r="C16" s="12">
        <f>SUM(C17:C18)</f>
        <v>198074115044.2478</v>
      </c>
      <c r="D16" s="13"/>
      <c r="E16" s="14"/>
    </row>
    <row r="17" spans="1:5" ht="102" customHeight="1" x14ac:dyDescent="0.25">
      <c r="A17" s="13" t="s">
        <v>99</v>
      </c>
      <c r="B17" s="16">
        <f>(0.8+0.08+3)*10^9</f>
        <v>3880000000</v>
      </c>
      <c r="C17" s="16">
        <f>B17/$B$36</f>
        <v>4292035398.2300882</v>
      </c>
      <c r="D17" s="13" t="s">
        <v>258</v>
      </c>
      <c r="E17" s="14" t="s">
        <v>257</v>
      </c>
    </row>
    <row r="18" spans="1:5" ht="333.45" customHeight="1" x14ac:dyDescent="0.25">
      <c r="A18" s="13" t="s">
        <v>101</v>
      </c>
      <c r="B18" s="16">
        <f>(0.179+100+7.5+40+27.5)*10^9</f>
        <v>175179000000</v>
      </c>
      <c r="C18" s="16">
        <f>B18/$B$36</f>
        <v>193782079646.0177</v>
      </c>
      <c r="D18" s="13" t="s">
        <v>259</v>
      </c>
      <c r="E18" s="14" t="s">
        <v>260</v>
      </c>
    </row>
    <row r="19" spans="1:5" ht="30" x14ac:dyDescent="0.25">
      <c r="A19" s="11" t="s">
        <v>103</v>
      </c>
      <c r="B19" s="12">
        <f>1*10^9</f>
        <v>1000000000</v>
      </c>
      <c r="C19" s="12">
        <f>B19/$B$36</f>
        <v>1106194690.2654867</v>
      </c>
      <c r="D19" s="13" t="s">
        <v>261</v>
      </c>
      <c r="E19" s="21"/>
    </row>
    <row r="20" spans="1:5" x14ac:dyDescent="0.25">
      <c r="A20" s="14" t="s">
        <v>104</v>
      </c>
      <c r="B20" s="16"/>
      <c r="C20" s="16"/>
      <c r="D20" s="13"/>
      <c r="E20" s="21"/>
    </row>
    <row r="21" spans="1:5" ht="30" x14ac:dyDescent="0.25">
      <c r="A21" s="22" t="s">
        <v>105</v>
      </c>
      <c r="B21" s="12">
        <f>B22+B24</f>
        <v>340000000000</v>
      </c>
      <c r="C21" s="12">
        <f>C22+C24</f>
        <v>376106194690.2655</v>
      </c>
      <c r="D21" s="13"/>
      <c r="E21" s="14"/>
    </row>
    <row r="22" spans="1:5" ht="160.05000000000001" customHeight="1" x14ac:dyDescent="0.25">
      <c r="A22" s="22" t="s">
        <v>108</v>
      </c>
      <c r="B22" s="16">
        <f>(240+100)*10^9</f>
        <v>340000000000</v>
      </c>
      <c r="C22" s="16">
        <f>B22/$B$36</f>
        <v>376106194690.2655</v>
      </c>
      <c r="D22" s="13" t="s">
        <v>262</v>
      </c>
      <c r="E22" s="14" t="s">
        <v>260</v>
      </c>
    </row>
    <row r="23" spans="1:5" x14ac:dyDescent="0.25">
      <c r="A23" s="13" t="s">
        <v>109</v>
      </c>
      <c r="B23" s="16">
        <v>0</v>
      </c>
      <c r="C23" s="16"/>
      <c r="D23" s="13"/>
      <c r="E23" s="14"/>
    </row>
    <row r="24" spans="1:5" x14ac:dyDescent="0.25">
      <c r="A24" s="22" t="s">
        <v>110</v>
      </c>
      <c r="B24" s="16"/>
      <c r="C24" s="16"/>
      <c r="D24" s="13"/>
      <c r="E24" s="14"/>
    </row>
    <row r="25" spans="1:5" x14ac:dyDescent="0.25">
      <c r="A25" s="13" t="s">
        <v>109</v>
      </c>
      <c r="B25" s="16"/>
      <c r="C25" s="16"/>
      <c r="D25" s="13"/>
      <c r="E25" s="14"/>
    </row>
    <row r="26" spans="1:5" x14ac:dyDescent="0.25">
      <c r="A26" s="22" t="s">
        <v>111</v>
      </c>
      <c r="B26" s="16">
        <f>SUM(B27:B29)</f>
        <v>0</v>
      </c>
      <c r="C26" s="16">
        <f>SUM(C27:C29)</f>
        <v>0</v>
      </c>
      <c r="D26" s="13"/>
      <c r="E26" s="118"/>
    </row>
    <row r="27" spans="1:5" s="104" customFormat="1" x14ac:dyDescent="0.25">
      <c r="A27" s="13" t="s">
        <v>112</v>
      </c>
      <c r="B27" s="16"/>
      <c r="C27" s="16"/>
      <c r="D27" s="13"/>
      <c r="E27" s="56"/>
    </row>
    <row r="28" spans="1:5" s="104" customFormat="1" x14ac:dyDescent="0.25">
      <c r="A28" s="13" t="s">
        <v>115</v>
      </c>
      <c r="B28" s="16"/>
      <c r="C28" s="16"/>
      <c r="D28" s="13"/>
      <c r="E28" s="56"/>
    </row>
    <row r="29" spans="1:5" s="104" customFormat="1" x14ac:dyDescent="0.25">
      <c r="A29" s="13" t="s">
        <v>116</v>
      </c>
      <c r="B29" s="19">
        <f>SUM(B30:B31)</f>
        <v>0</v>
      </c>
      <c r="C29" s="19">
        <f>SUM(C30:C31)</f>
        <v>0</v>
      </c>
      <c r="D29" s="13"/>
      <c r="E29" s="56"/>
    </row>
    <row r="30" spans="1:5" s="104" customFormat="1" x14ac:dyDescent="0.25">
      <c r="A30" s="25" t="s">
        <v>117</v>
      </c>
      <c r="B30" s="119"/>
      <c r="C30" s="119"/>
      <c r="D30" s="27"/>
      <c r="E30" s="28"/>
    </row>
    <row r="31" spans="1:5" s="104" customFormat="1" x14ac:dyDescent="0.25">
      <c r="A31" s="25" t="s">
        <v>118</v>
      </c>
      <c r="B31" s="119"/>
      <c r="C31" s="119"/>
      <c r="D31" s="25"/>
      <c r="E31" s="29"/>
    </row>
    <row r="32" spans="1:5" ht="157.80000000000001" customHeight="1" x14ac:dyDescent="0.25">
      <c r="A32" s="11" t="s">
        <v>119</v>
      </c>
      <c r="B32" s="12">
        <f>37*10^9</f>
        <v>37000000000</v>
      </c>
      <c r="C32" s="12">
        <f>B32/$B$36</f>
        <v>40929203539.823006</v>
      </c>
      <c r="D32" s="13" t="s">
        <v>263</v>
      </c>
      <c r="E32" s="14" t="s">
        <v>257</v>
      </c>
    </row>
    <row r="33" spans="1:5" x14ac:dyDescent="0.25">
      <c r="A33" s="31"/>
      <c r="B33" s="120"/>
      <c r="C33" s="120"/>
      <c r="D33" s="33"/>
      <c r="E33" s="34"/>
    </row>
    <row r="34" spans="1:5" x14ac:dyDescent="0.25">
      <c r="A34" s="35" t="s">
        <v>120</v>
      </c>
      <c r="B34" s="121">
        <f>(SUM(B5,B8,B12,B15,B16,B32))</f>
        <v>522059000000</v>
      </c>
      <c r="C34" s="121">
        <f>(SUM(C5,C8,C12,C15,C16,C32))</f>
        <v>577498893805.30969</v>
      </c>
      <c r="D34" s="70" t="s">
        <v>154</v>
      </c>
    </row>
    <row r="35" spans="1:5" x14ac:dyDescent="0.25">
      <c r="A35" s="31"/>
      <c r="B35" s="39"/>
      <c r="C35" s="40"/>
    </row>
    <row r="36" spans="1:5" x14ac:dyDescent="0.25">
      <c r="A36" s="31" t="s">
        <v>121</v>
      </c>
      <c r="B36" s="122">
        <v>0.90400000000000003</v>
      </c>
      <c r="C36" s="123"/>
    </row>
    <row r="37" spans="1:5" x14ac:dyDescent="0.25">
      <c r="A37" s="43"/>
      <c r="B37" s="124"/>
      <c r="C37" s="124"/>
    </row>
    <row r="38" spans="1:5" x14ac:dyDescent="0.25">
      <c r="A38" s="43"/>
      <c r="B38" s="124"/>
      <c r="C38" s="124"/>
    </row>
    <row r="39" spans="1:5" x14ac:dyDescent="0.25">
      <c r="A39" s="75" t="s">
        <v>129</v>
      </c>
      <c r="B39" s="44"/>
      <c r="C39" s="44"/>
    </row>
    <row r="40" spans="1:5" x14ac:dyDescent="0.25">
      <c r="A40" s="18" t="s">
        <v>264</v>
      </c>
      <c r="B40" s="44"/>
      <c r="C40" s="44"/>
    </row>
    <row r="41" spans="1:5" x14ac:dyDescent="0.25">
      <c r="A41" s="18" t="s">
        <v>265</v>
      </c>
      <c r="B41" s="46"/>
      <c r="C41" s="47"/>
    </row>
    <row r="42" spans="1:5" x14ac:dyDescent="0.25">
      <c r="A42" s="43"/>
      <c r="B42" s="49"/>
      <c r="C42" s="49"/>
    </row>
    <row r="43" spans="1:5" x14ac:dyDescent="0.25">
      <c r="A43" s="43"/>
      <c r="B43" s="49"/>
      <c r="C43" s="49"/>
    </row>
    <row r="44" spans="1:5" ht="28.8" customHeight="1" x14ac:dyDescent="0.25">
      <c r="A44" s="376"/>
      <c r="B44" s="376"/>
      <c r="C44" s="376"/>
      <c r="D44" s="376"/>
      <c r="E44" s="376"/>
    </row>
    <row r="45" spans="1:5" x14ac:dyDescent="0.25">
      <c r="A45" s="43"/>
      <c r="B45" s="50"/>
      <c r="C45" s="50"/>
    </row>
    <row r="46" spans="1:5" x14ac:dyDescent="0.25">
      <c r="A46" s="43"/>
      <c r="B46" s="51"/>
    </row>
    <row r="47" spans="1:5" x14ac:dyDescent="0.25">
      <c r="A47" s="43"/>
    </row>
    <row r="48" spans="1:5" x14ac:dyDescent="0.25">
      <c r="A48" s="7"/>
    </row>
    <row r="49" spans="1:5" s="37" customFormat="1" x14ac:dyDescent="0.25">
      <c r="A49" s="125"/>
      <c r="B49" s="70"/>
      <c r="C49" s="70"/>
      <c r="D49" s="70"/>
      <c r="E49" s="70"/>
    </row>
    <row r="50" spans="1:5" s="37" customFormat="1" x14ac:dyDescent="0.25">
      <c r="A50" s="7"/>
      <c r="B50" s="70"/>
      <c r="C50" s="70"/>
      <c r="D50" s="70"/>
      <c r="E50" s="70"/>
    </row>
    <row r="52" spans="1:5" x14ac:dyDescent="0.25">
      <c r="A52" s="43"/>
    </row>
    <row r="53" spans="1:5" x14ac:dyDescent="0.25">
      <c r="A53" s="5"/>
      <c r="B53" s="18"/>
      <c r="C53" s="18"/>
      <c r="D53" s="38"/>
    </row>
    <row r="54" spans="1:5" x14ac:dyDescent="0.25">
      <c r="A54" s="5"/>
      <c r="B54" s="34"/>
      <c r="C54" s="34"/>
      <c r="D54" s="34"/>
      <c r="E54" s="34"/>
    </row>
    <row r="56" spans="1:5" x14ac:dyDescent="0.25">
      <c r="A56" s="5"/>
    </row>
    <row r="57" spans="1:5" x14ac:dyDescent="0.25">
      <c r="A57" s="5"/>
    </row>
    <row r="58" spans="1:5" s="38" customFormat="1" x14ac:dyDescent="0.3">
      <c r="A58" s="5"/>
      <c r="D58" s="70"/>
    </row>
    <row r="59" spans="1:5" s="38" customFormat="1" x14ac:dyDescent="0.3">
      <c r="A59" s="5"/>
      <c r="D59" s="70"/>
    </row>
    <row r="60" spans="1:5" s="38" customFormat="1" x14ac:dyDescent="0.3">
      <c r="A60" s="5"/>
      <c r="D60" s="70"/>
    </row>
    <row r="61" spans="1:5" s="38" customFormat="1" x14ac:dyDescent="0.3">
      <c r="A61" s="5"/>
      <c r="D61" s="70"/>
    </row>
    <row r="62" spans="1:5" s="38" customFormat="1" x14ac:dyDescent="0.3">
      <c r="A62" s="5"/>
      <c r="D62" s="70"/>
    </row>
    <row r="63" spans="1:5" s="38" customFormat="1" x14ac:dyDescent="0.3">
      <c r="A63" s="5"/>
      <c r="D63" s="70"/>
    </row>
    <row r="64" spans="1:5" s="38" customFormat="1" x14ac:dyDescent="0.3">
      <c r="A64" s="5"/>
      <c r="D64" s="70"/>
    </row>
    <row r="65" spans="1:4" s="38" customFormat="1" x14ac:dyDescent="0.3">
      <c r="A65" s="5"/>
      <c r="D65" s="70"/>
    </row>
    <row r="66" spans="1:4" s="38" customFormat="1" x14ac:dyDescent="0.3">
      <c r="A66" s="5"/>
      <c r="D66" s="70"/>
    </row>
    <row r="67" spans="1:4" s="38" customFormat="1" x14ac:dyDescent="0.3">
      <c r="A67" s="5"/>
      <c r="D67" s="70"/>
    </row>
    <row r="68" spans="1:4" s="38" customFormat="1" x14ac:dyDescent="0.3">
      <c r="A68" s="5"/>
      <c r="D68" s="70"/>
    </row>
    <row r="69" spans="1:4" s="38" customFormat="1" x14ac:dyDescent="0.3">
      <c r="A69" s="5"/>
      <c r="D69" s="70"/>
    </row>
    <row r="70" spans="1:4" s="38" customFormat="1" x14ac:dyDescent="0.3">
      <c r="A70" s="5"/>
      <c r="D70" s="70"/>
    </row>
    <row r="71" spans="1:4" s="38" customFormat="1" x14ac:dyDescent="0.3">
      <c r="A71" s="5"/>
      <c r="D71" s="70"/>
    </row>
    <row r="72" spans="1:4" s="38" customFormat="1" x14ac:dyDescent="0.3">
      <c r="A72" s="5"/>
      <c r="D72" s="70"/>
    </row>
    <row r="73" spans="1:4" s="38" customFormat="1" x14ac:dyDescent="0.3">
      <c r="A73" s="5"/>
      <c r="D73" s="70"/>
    </row>
    <row r="74" spans="1:4" s="38" customFormat="1" x14ac:dyDescent="0.3">
      <c r="A74" s="5"/>
      <c r="D74" s="70"/>
    </row>
  </sheetData>
  <sheetProtection algorithmName="SHA-512" hashValue="As7I17/Hao0uly5HqmYpw9d/vV3Z9iFPj5sb0HWMY+EHa+4HCJhoqn2/VlFRBXsA5F0zHt98YxFqDZE7nrgi2Q==" saltValue="wrQF5X2e61K1wrHXJe3L8A==" spinCount="100000" sheet="1" formatCells="0" formatColumns="0" formatRows="0" insertColumns="0" insertRows="0" insertHyperlinks="0" deleteColumns="0" deleteRows="0" sort="0" autoFilter="0" pivotTables="0"/>
  <mergeCells count="1">
    <mergeCell ref="A44:E44"/>
  </mergeCells>
  <hyperlinks>
    <hyperlink ref="A2" location="Index!H47" display="[Back to Index]" xr:uid="{579ABB87-1495-4771-B244-E7F7E765F49D}"/>
  </hyperlinks>
  <pageMargins left="0.7" right="0.7" top="0.75" bottom="0.75" header="0.3" footer="0.3"/>
  <pageSetup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28F20-996A-49C3-84DE-4C2078F7BCDF}">
  <sheetPr codeName="Sheet8">
    <tabColor theme="7" tint="0.79998168889431442"/>
  </sheetPr>
  <dimension ref="A1:E64"/>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77734375" defaultRowHeight="15" x14ac:dyDescent="0.25"/>
  <cols>
    <col min="1" max="1" width="48.77734375" style="70" customWidth="1"/>
    <col min="2" max="2" width="27.5546875" style="70" customWidth="1"/>
    <col min="3" max="3" width="27.77734375" style="70" customWidth="1"/>
    <col min="4" max="4" width="95.77734375" style="37" customWidth="1"/>
    <col min="5" max="5" width="40.77734375" style="70" customWidth="1"/>
    <col min="6" max="16384" width="8.77734375" style="37"/>
  </cols>
  <sheetData>
    <row r="1" spans="1:5" s="7" customFormat="1" ht="17.399999999999999" x14ac:dyDescent="0.25">
      <c r="A1" s="112" t="s">
        <v>20</v>
      </c>
      <c r="B1" s="74" t="s">
        <v>73</v>
      </c>
      <c r="C1" s="84">
        <v>5.7073510000000001</v>
      </c>
      <c r="D1" s="4" t="s">
        <v>1045</v>
      </c>
    </row>
    <row r="2" spans="1:5" s="7" customFormat="1" x14ac:dyDescent="0.25">
      <c r="A2" s="324" t="s">
        <v>74</v>
      </c>
      <c r="C2" s="84">
        <v>0.37223899999999999</v>
      </c>
      <c r="D2" s="4" t="s">
        <v>1046</v>
      </c>
      <c r="E2" s="145"/>
    </row>
    <row r="3" spans="1:5" x14ac:dyDescent="0.25">
      <c r="A3" s="35"/>
      <c r="B3" s="176"/>
      <c r="C3" s="175"/>
    </row>
    <row r="4" spans="1:5" s="62" customFormat="1" x14ac:dyDescent="0.3">
      <c r="A4" s="9" t="s">
        <v>75</v>
      </c>
      <c r="B4" s="115" t="s">
        <v>609</v>
      </c>
      <c r="C4" s="9" t="s">
        <v>77</v>
      </c>
      <c r="D4" s="9" t="s">
        <v>78</v>
      </c>
      <c r="E4" s="115" t="s">
        <v>79</v>
      </c>
    </row>
    <row r="5" spans="1:5" s="63" customFormat="1" ht="60" x14ac:dyDescent="0.25">
      <c r="A5" s="22" t="s">
        <v>80</v>
      </c>
      <c r="B5" s="12">
        <f>SUM(B6:B7)</f>
        <v>220000000000</v>
      </c>
      <c r="C5" s="12">
        <f>SUM(C6:C7)</f>
        <v>4339164907.9899807</v>
      </c>
      <c r="D5" s="13"/>
      <c r="E5" s="13"/>
    </row>
    <row r="6" spans="1:5" s="63" customFormat="1" ht="45" x14ac:dyDescent="0.25">
      <c r="A6" s="13" t="s">
        <v>81</v>
      </c>
      <c r="B6" s="16"/>
      <c r="C6" s="16"/>
      <c r="D6" s="13"/>
      <c r="E6" s="13"/>
    </row>
    <row r="7" spans="1:5" s="63" customFormat="1" ht="155.4" customHeight="1" x14ac:dyDescent="0.25">
      <c r="A7" s="13" t="s">
        <v>84</v>
      </c>
      <c r="B7" s="17">
        <f>220*10^9</f>
        <v>220000000000</v>
      </c>
      <c r="C7" s="67">
        <f>+B7/$B$36</f>
        <v>4339164907.9899807</v>
      </c>
      <c r="D7" s="13" t="s">
        <v>610</v>
      </c>
      <c r="E7" s="13" t="s">
        <v>611</v>
      </c>
    </row>
    <row r="8" spans="1:5" ht="30" x14ac:dyDescent="0.25">
      <c r="A8" s="22" t="s">
        <v>87</v>
      </c>
      <c r="B8" s="20">
        <f>SUM(B9:B11)</f>
        <v>120000000000</v>
      </c>
      <c r="C8" s="20">
        <f>SUM(C9:C11)</f>
        <v>2366817222.5399895</v>
      </c>
      <c r="D8" s="13"/>
      <c r="E8" s="13"/>
    </row>
    <row r="9" spans="1:5" ht="60" x14ac:dyDescent="0.25">
      <c r="A9" s="13" t="s">
        <v>166</v>
      </c>
      <c r="B9" s="16"/>
      <c r="C9" s="16"/>
      <c r="D9" s="13"/>
      <c r="E9" s="13"/>
    </row>
    <row r="10" spans="1:5" ht="187.2" customHeight="1" x14ac:dyDescent="0.25">
      <c r="A10" s="13" t="s">
        <v>90</v>
      </c>
      <c r="B10" s="16"/>
      <c r="C10" s="16"/>
      <c r="D10" s="24" t="s">
        <v>612</v>
      </c>
      <c r="E10" s="13" t="s">
        <v>613</v>
      </c>
    </row>
    <row r="11" spans="1:5" x14ac:dyDescent="0.25">
      <c r="A11" s="13" t="s">
        <v>92</v>
      </c>
      <c r="B11" s="16">
        <f>120*10^9</f>
        <v>120000000000</v>
      </c>
      <c r="C11" s="67">
        <f>+B11/$B$36</f>
        <v>2366817222.5399895</v>
      </c>
      <c r="D11" s="13" t="s">
        <v>614</v>
      </c>
      <c r="E11" s="13" t="s">
        <v>615</v>
      </c>
    </row>
    <row r="12" spans="1:5" ht="45" x14ac:dyDescent="0.25">
      <c r="A12" s="22" t="s">
        <v>93</v>
      </c>
      <c r="B12" s="12">
        <f>SUM(B13:B14)</f>
        <v>14018000000</v>
      </c>
      <c r="C12" s="12">
        <f>SUM(C13:C14)</f>
        <v>276483698.54637975</v>
      </c>
      <c r="D12" s="13"/>
      <c r="E12" s="13"/>
    </row>
    <row r="13" spans="1:5" ht="97.8" customHeight="1" x14ac:dyDescent="0.25">
      <c r="A13" s="13" t="s">
        <v>171</v>
      </c>
      <c r="B13" s="211">
        <f>(1.203+0.015+10+2.8)*10^9</f>
        <v>14018000000</v>
      </c>
      <c r="C13" s="67">
        <f>+B13/$B$36</f>
        <v>276483698.54637975</v>
      </c>
      <c r="D13" s="13" t="s">
        <v>616</v>
      </c>
      <c r="E13" s="13" t="s">
        <v>615</v>
      </c>
    </row>
    <row r="14" spans="1:5" ht="36.6" customHeight="1" x14ac:dyDescent="0.25">
      <c r="A14" s="13" t="s">
        <v>96</v>
      </c>
      <c r="B14" s="16"/>
      <c r="C14" s="16"/>
      <c r="D14" s="13" t="s">
        <v>617</v>
      </c>
      <c r="E14" s="13" t="s">
        <v>615</v>
      </c>
    </row>
    <row r="15" spans="1:5" ht="45" x14ac:dyDescent="0.25">
      <c r="A15" s="22" t="s">
        <v>97</v>
      </c>
      <c r="B15" s="12"/>
      <c r="C15" s="12"/>
      <c r="D15" s="13"/>
      <c r="E15" s="13"/>
    </row>
    <row r="16" spans="1:5" ht="30" x14ac:dyDescent="0.25">
      <c r="A16" s="22" t="s">
        <v>98</v>
      </c>
      <c r="B16" s="12">
        <f>SUM(B17:B18)</f>
        <v>480838700000</v>
      </c>
      <c r="C16" s="12">
        <f>SUM(C17:C18)</f>
        <v>9483810970.1978264</v>
      </c>
      <c r="D16" s="13"/>
      <c r="E16" s="13"/>
    </row>
    <row r="17" spans="1:5" ht="150" customHeight="1" x14ac:dyDescent="0.25">
      <c r="A17" s="13" t="s">
        <v>99</v>
      </c>
      <c r="B17" s="212">
        <f>+(2.9+1.8+22.1856+0.4206+0.0532+2.7015+0.5118)*10^9</f>
        <v>30572700000</v>
      </c>
      <c r="C17" s="67">
        <f>+B17/$B$36</f>
        <v>602999940.82956946</v>
      </c>
      <c r="D17" s="13" t="s">
        <v>1079</v>
      </c>
      <c r="E17" s="24" t="s">
        <v>615</v>
      </c>
    </row>
    <row r="18" spans="1:5" ht="182.4" customHeight="1" x14ac:dyDescent="0.25">
      <c r="A18" s="13" t="s">
        <v>101</v>
      </c>
      <c r="B18" s="213">
        <f>(205+51+30+16.5+1.5+2+1.2+3+0.47+139.596)*10^9</f>
        <v>450266000000</v>
      </c>
      <c r="C18" s="67">
        <f>+B18/$B$36</f>
        <v>8880811029.3682575</v>
      </c>
      <c r="D18" s="24" t="s">
        <v>1080</v>
      </c>
      <c r="E18" s="24" t="s">
        <v>615</v>
      </c>
    </row>
    <row r="19" spans="1:5" ht="30" x14ac:dyDescent="0.25">
      <c r="A19" s="22" t="s">
        <v>103</v>
      </c>
      <c r="B19" s="16"/>
      <c r="C19" s="16"/>
      <c r="D19" s="13"/>
      <c r="E19" s="66"/>
    </row>
    <row r="20" spans="1:5" x14ac:dyDescent="0.25">
      <c r="A20" s="13" t="s">
        <v>104</v>
      </c>
      <c r="B20" s="16"/>
      <c r="C20" s="16"/>
      <c r="D20" s="13"/>
      <c r="E20" s="66"/>
    </row>
    <row r="21" spans="1:5" ht="30" x14ac:dyDescent="0.25">
      <c r="A21" s="22" t="s">
        <v>105</v>
      </c>
      <c r="B21" s="12">
        <f>SUM(B22,B24)</f>
        <v>300000000000</v>
      </c>
      <c r="C21" s="12">
        <f>SUM(C22,C24)</f>
        <v>5917043056.3499737</v>
      </c>
      <c r="D21" s="13"/>
      <c r="E21" s="13"/>
    </row>
    <row r="22" spans="1:5" x14ac:dyDescent="0.25">
      <c r="A22" s="22" t="s">
        <v>108</v>
      </c>
      <c r="B22" s="16"/>
      <c r="C22" s="16"/>
      <c r="D22" s="13"/>
      <c r="E22" s="13"/>
    </row>
    <row r="23" spans="1:5" x14ac:dyDescent="0.25">
      <c r="A23" s="13" t="s">
        <v>109</v>
      </c>
      <c r="B23" s="16"/>
      <c r="C23" s="16"/>
      <c r="D23" s="13"/>
      <c r="E23" s="13"/>
    </row>
    <row r="24" spans="1:5" ht="69" customHeight="1" x14ac:dyDescent="0.25">
      <c r="A24" s="22" t="s">
        <v>110</v>
      </c>
      <c r="B24" s="67">
        <v>300000000000</v>
      </c>
      <c r="C24" s="67">
        <f>+B24/$B$36</f>
        <v>5917043056.3499737</v>
      </c>
      <c r="D24" s="24" t="s">
        <v>1081</v>
      </c>
      <c r="E24" s="13" t="s">
        <v>618</v>
      </c>
    </row>
    <row r="25" spans="1:5" x14ac:dyDescent="0.25">
      <c r="A25" s="13" t="s">
        <v>109</v>
      </c>
      <c r="B25" s="19"/>
      <c r="C25" s="67"/>
      <c r="D25" s="13"/>
      <c r="E25" s="13"/>
    </row>
    <row r="26" spans="1:5" x14ac:dyDescent="0.25">
      <c r="A26" s="22" t="s">
        <v>111</v>
      </c>
      <c r="B26" s="12">
        <f>SUM(B27:B29)</f>
        <v>35896308000</v>
      </c>
      <c r="C26" s="12">
        <f>SUM(C27:C29)</f>
        <v>708000000</v>
      </c>
      <c r="D26" s="13"/>
      <c r="E26" s="13"/>
    </row>
    <row r="27" spans="1:5" x14ac:dyDescent="0.25">
      <c r="A27" s="13" t="s">
        <v>112</v>
      </c>
      <c r="B27" s="16"/>
      <c r="C27" s="16"/>
      <c r="D27" s="13"/>
      <c r="E27" s="13"/>
    </row>
    <row r="28" spans="1:5" ht="60" x14ac:dyDescent="0.25">
      <c r="A28" s="13" t="s">
        <v>115</v>
      </c>
      <c r="B28" s="16"/>
      <c r="C28" s="16"/>
      <c r="D28" s="13" t="s">
        <v>619</v>
      </c>
      <c r="E28" s="13" t="s">
        <v>83</v>
      </c>
    </row>
    <row r="29" spans="1:5" x14ac:dyDescent="0.25">
      <c r="A29" s="13" t="s">
        <v>116</v>
      </c>
      <c r="B29" s="16">
        <f>SUM(B30:B31)</f>
        <v>35896308000</v>
      </c>
      <c r="C29" s="16">
        <f>SUM(C30:C31)</f>
        <v>708000000</v>
      </c>
      <c r="D29" s="13"/>
      <c r="E29" s="13"/>
    </row>
    <row r="30" spans="1:5" ht="36" customHeight="1" x14ac:dyDescent="0.25">
      <c r="A30" s="13" t="s">
        <v>117</v>
      </c>
      <c r="B30" s="16">
        <f>+C30*B36</f>
        <v>405608000</v>
      </c>
      <c r="C30" s="16">
        <f>8*10^6</f>
        <v>8000000</v>
      </c>
      <c r="D30" s="24" t="s">
        <v>620</v>
      </c>
      <c r="E30" s="24" t="s">
        <v>621</v>
      </c>
    </row>
    <row r="31" spans="1:5" ht="56.4" customHeight="1" x14ac:dyDescent="0.25">
      <c r="A31" s="13" t="s">
        <v>118</v>
      </c>
      <c r="B31" s="16">
        <f>+C31*B36</f>
        <v>35490700000</v>
      </c>
      <c r="C31" s="16">
        <f>+(200+500)*10^6</f>
        <v>700000000</v>
      </c>
      <c r="D31" s="13" t="s">
        <v>622</v>
      </c>
      <c r="E31" s="24" t="s">
        <v>615</v>
      </c>
    </row>
    <row r="32" spans="1:5" ht="64.95" customHeight="1" x14ac:dyDescent="0.25">
      <c r="A32" s="22" t="s">
        <v>119</v>
      </c>
      <c r="B32" s="16"/>
      <c r="C32" s="67"/>
      <c r="D32" s="24"/>
      <c r="E32" s="24"/>
    </row>
    <row r="33" spans="1:5" x14ac:dyDescent="0.25">
      <c r="A33" s="35"/>
      <c r="B33" s="176"/>
      <c r="C33" s="176"/>
      <c r="D33" s="33"/>
      <c r="E33" s="33"/>
    </row>
    <row r="34" spans="1:5" x14ac:dyDescent="0.25">
      <c r="A34" s="35" t="s">
        <v>120</v>
      </c>
      <c r="B34" s="71">
        <f>SUM(B5,B8,B12,B15,B16)</f>
        <v>834856700000</v>
      </c>
      <c r="C34" s="71">
        <f>SUM(C5,C8,C12,C15,C16)</f>
        <v>16466276799.274178</v>
      </c>
    </row>
    <row r="35" spans="1:5" x14ac:dyDescent="0.25">
      <c r="A35" s="35"/>
      <c r="B35" s="71"/>
      <c r="C35" s="72"/>
    </row>
    <row r="36" spans="1:5" x14ac:dyDescent="0.25">
      <c r="A36" s="35" t="s">
        <v>121</v>
      </c>
      <c r="B36" s="95">
        <v>50.701000000000001</v>
      </c>
      <c r="C36" s="74"/>
    </row>
    <row r="37" spans="1:5" x14ac:dyDescent="0.25">
      <c r="A37" s="75" t="s">
        <v>122</v>
      </c>
      <c r="B37" s="192">
        <v>18732750000000</v>
      </c>
      <c r="C37" s="179">
        <v>356814000000</v>
      </c>
    </row>
    <row r="38" spans="1:5" x14ac:dyDescent="0.25">
      <c r="A38" s="75" t="s">
        <v>123</v>
      </c>
      <c r="B38" s="192">
        <v>106651922</v>
      </c>
      <c r="C38" s="179"/>
    </row>
    <row r="39" spans="1:5" x14ac:dyDescent="0.25">
      <c r="A39" s="75"/>
      <c r="B39" s="76"/>
      <c r="C39" s="76"/>
    </row>
    <row r="40" spans="1:5" x14ac:dyDescent="0.25">
      <c r="A40" s="7"/>
      <c r="B40" s="191" t="s">
        <v>623</v>
      </c>
      <c r="C40" s="47" t="s">
        <v>125</v>
      </c>
    </row>
    <row r="41" spans="1:5" x14ac:dyDescent="0.25">
      <c r="A41" s="75" t="s">
        <v>126</v>
      </c>
      <c r="B41" s="48">
        <f>$B37/$B38</f>
        <v>175643.81071350968</v>
      </c>
      <c r="C41" s="48">
        <f>$C37/$B38</f>
        <v>3345.5937156012997</v>
      </c>
    </row>
    <row r="42" spans="1:5" x14ac:dyDescent="0.25">
      <c r="A42" s="75" t="s">
        <v>127</v>
      </c>
      <c r="B42" s="49">
        <f>($B34/$B37)*100</f>
        <v>4.4566692023328125</v>
      </c>
      <c r="C42" s="49"/>
    </row>
    <row r="43" spans="1:5" x14ac:dyDescent="0.25">
      <c r="A43" s="75" t="s">
        <v>128</v>
      </c>
      <c r="B43" s="78">
        <f>B34/B38</f>
        <v>7827.8636178727284</v>
      </c>
      <c r="C43" s="78">
        <f>C34/B38</f>
        <v>154.3926868872947</v>
      </c>
    </row>
    <row r="44" spans="1:5" x14ac:dyDescent="0.25">
      <c r="A44" s="75"/>
      <c r="B44" s="78"/>
      <c r="C44" s="78"/>
    </row>
    <row r="45" spans="1:5" x14ac:dyDescent="0.25">
      <c r="A45" s="336" t="s">
        <v>1055</v>
      </c>
      <c r="B45" s="78"/>
      <c r="C45" s="78"/>
    </row>
    <row r="46" spans="1:5" x14ac:dyDescent="0.25">
      <c r="A46" s="75"/>
      <c r="B46" s="78"/>
      <c r="C46" s="78"/>
    </row>
    <row r="47" spans="1:5" x14ac:dyDescent="0.25">
      <c r="A47" s="75"/>
      <c r="B47" s="79"/>
    </row>
    <row r="48" spans="1:5" x14ac:dyDescent="0.25">
      <c r="A48" s="75" t="s">
        <v>129</v>
      </c>
    </row>
    <row r="49" spans="1:5" ht="15.45" customHeight="1" x14ac:dyDescent="0.25">
      <c r="A49" s="52" t="s">
        <v>624</v>
      </c>
      <c r="B49" s="53"/>
      <c r="C49" s="53"/>
      <c r="D49" s="53"/>
      <c r="E49" s="53"/>
    </row>
    <row r="50" spans="1:5" ht="15.45" customHeight="1" x14ac:dyDescent="0.25">
      <c r="A50" s="70" t="s">
        <v>625</v>
      </c>
      <c r="B50" s="53"/>
      <c r="C50" s="53"/>
      <c r="D50" s="53"/>
      <c r="E50" s="53"/>
    </row>
    <row r="51" spans="1:5" x14ac:dyDescent="0.25">
      <c r="A51" s="70" t="s">
        <v>626</v>
      </c>
    </row>
    <row r="52" spans="1:5" x14ac:dyDescent="0.25">
      <c r="A52" s="52" t="s">
        <v>627</v>
      </c>
    </row>
    <row r="53" spans="1:5" x14ac:dyDescent="0.25">
      <c r="A53" s="52"/>
    </row>
    <row r="54" spans="1:5" x14ac:dyDescent="0.25">
      <c r="A54" s="52"/>
    </row>
    <row r="55" spans="1:5" x14ac:dyDescent="0.25">
      <c r="A55" s="75" t="s">
        <v>131</v>
      </c>
    </row>
    <row r="56" spans="1:5" s="70" customFormat="1" x14ac:dyDescent="0.25">
      <c r="A56" s="54" t="s">
        <v>628</v>
      </c>
      <c r="C56" s="147"/>
      <c r="D56" s="37"/>
    </row>
    <row r="57" spans="1:5" s="70" customFormat="1" x14ac:dyDescent="0.25">
      <c r="A57" s="37" t="s">
        <v>629</v>
      </c>
      <c r="C57" s="147"/>
      <c r="D57" s="37"/>
    </row>
    <row r="58" spans="1:5" s="70" customFormat="1" x14ac:dyDescent="0.25">
      <c r="A58" s="37" t="s">
        <v>630</v>
      </c>
      <c r="C58" s="147"/>
      <c r="D58" s="37"/>
    </row>
    <row r="59" spans="1:5" s="70" customFormat="1" x14ac:dyDescent="0.3">
      <c r="A59" s="320" t="s">
        <v>631</v>
      </c>
      <c r="B59" s="320"/>
      <c r="C59" s="320"/>
      <c r="D59" s="320"/>
      <c r="E59" s="320"/>
    </row>
    <row r="60" spans="1:5" s="70" customFormat="1" x14ac:dyDescent="0.25">
      <c r="A60" s="7" t="s">
        <v>469</v>
      </c>
      <c r="D60" s="37"/>
    </row>
    <row r="61" spans="1:5" s="70" customFormat="1" x14ac:dyDescent="0.25">
      <c r="A61" s="7"/>
      <c r="D61" s="37"/>
    </row>
    <row r="62" spans="1:5" s="70" customFormat="1" x14ac:dyDescent="0.25">
      <c r="A62" s="7"/>
      <c r="D62" s="37"/>
    </row>
    <row r="63" spans="1:5" x14ac:dyDescent="0.25">
      <c r="A63" s="367" t="s">
        <v>1060</v>
      </c>
      <c r="B63" s="367"/>
      <c r="C63" s="367"/>
      <c r="D63" s="367"/>
      <c r="E63" s="367"/>
    </row>
    <row r="64" spans="1:5" x14ac:dyDescent="0.25">
      <c r="A64" s="367"/>
      <c r="B64" s="367"/>
      <c r="C64" s="367"/>
      <c r="D64" s="367"/>
      <c r="E64" s="367"/>
    </row>
  </sheetData>
  <sheetProtection algorithmName="SHA-512" hashValue="yP5LWSEHavuVcT6HhbNKVJiukl+mAKjl7oidHZJxEA+5Y8ovaZHZuLzZwfIZProhancYnSKoAZ37AIQBjiE/Ow==" saltValue="IYJ8ZEiSWH3mzorQqaOKVA==" spinCount="100000" sheet="1" formatCells="0" formatColumns="0" formatRows="0" insertColumns="0" insertRows="0" insertHyperlinks="0" deleteColumns="0" deleteRows="0" sort="0" autoFilter="0" pivotTables="0"/>
  <mergeCells count="1">
    <mergeCell ref="A63:E64"/>
  </mergeCells>
  <hyperlinks>
    <hyperlink ref="A2" location="Index!B28" display="[Back to Index]" xr:uid="{9E6C3433-92EC-4FA7-875C-B732E6BFC8C1}"/>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B6BA-95E3-4CD9-A27D-44E7CCDDC2AF}">
  <sheetPr codeName="Sheet9">
    <tabColor theme="7" tint="0.79998168889431442"/>
  </sheetPr>
  <dimension ref="A1:AB77"/>
  <sheetViews>
    <sheetView zoomScaleNormal="100" workbookViewId="0">
      <pane xSplit="1" ySplit="4" topLeftCell="B5" activePane="bottomRight" state="frozen"/>
      <selection activeCell="L13" sqref="L13"/>
      <selection pane="topRight" activeCell="L13" sqref="L13"/>
      <selection pane="bottomLeft" activeCell="L13" sqref="L13"/>
      <selection pane="bottomRight" activeCell="L13" sqref="L13"/>
    </sheetView>
  </sheetViews>
  <sheetFormatPr defaultColWidth="8.6640625" defaultRowHeight="15" x14ac:dyDescent="0.25"/>
  <cols>
    <col min="1" max="1" width="48.6640625" style="38" customWidth="1"/>
    <col min="2" max="2" width="27.5546875" style="38" customWidth="1"/>
    <col min="3" max="3" width="27.6640625" style="38" customWidth="1"/>
    <col min="4" max="4" width="95.6640625" style="37" customWidth="1"/>
    <col min="5" max="5" width="40.6640625" style="38" customWidth="1"/>
    <col min="6" max="28" width="8.6640625" style="37"/>
    <col min="29" max="16384" width="8.6640625" style="18"/>
  </cols>
  <sheetData>
    <row r="1" spans="1:28" s="5" customFormat="1" ht="17.399999999999999" x14ac:dyDescent="0.25">
      <c r="A1" s="112" t="s">
        <v>23</v>
      </c>
      <c r="B1" s="2" t="s">
        <v>73</v>
      </c>
      <c r="C1" s="84">
        <v>106.26609999999999</v>
      </c>
      <c r="D1" s="4" t="s">
        <v>1045</v>
      </c>
      <c r="F1" s="7"/>
      <c r="G1" s="7"/>
      <c r="H1" s="7"/>
      <c r="I1" s="7"/>
      <c r="J1" s="7"/>
      <c r="K1" s="7"/>
      <c r="L1" s="7"/>
      <c r="M1" s="7"/>
      <c r="N1" s="7"/>
      <c r="O1" s="7"/>
      <c r="P1" s="7"/>
      <c r="Q1" s="7"/>
      <c r="R1" s="7"/>
      <c r="S1" s="7"/>
      <c r="T1" s="7"/>
      <c r="U1" s="7"/>
      <c r="V1" s="7"/>
      <c r="W1" s="7"/>
      <c r="X1" s="7"/>
      <c r="Y1" s="7"/>
      <c r="Z1" s="7"/>
      <c r="AA1" s="7"/>
      <c r="AB1" s="7"/>
    </row>
    <row r="2" spans="1:28" s="5" customFormat="1" x14ac:dyDescent="0.25">
      <c r="A2" s="324" t="s">
        <v>74</v>
      </c>
      <c r="C2" s="84">
        <v>0.19508130000000001</v>
      </c>
      <c r="D2" s="4" t="s">
        <v>1046</v>
      </c>
      <c r="F2" s="7"/>
      <c r="G2" s="7"/>
      <c r="H2" s="7"/>
      <c r="I2" s="7"/>
      <c r="J2" s="7"/>
      <c r="K2" s="7"/>
      <c r="L2" s="7"/>
      <c r="M2" s="7"/>
      <c r="N2" s="7"/>
      <c r="O2" s="7"/>
      <c r="P2" s="7"/>
      <c r="Q2" s="7"/>
      <c r="R2" s="7"/>
      <c r="S2" s="7"/>
      <c r="T2" s="7"/>
      <c r="U2" s="7"/>
      <c r="V2" s="7"/>
      <c r="W2" s="7"/>
      <c r="X2" s="7"/>
      <c r="Y2" s="7"/>
      <c r="Z2" s="7"/>
      <c r="AA2" s="7"/>
      <c r="AB2" s="7"/>
    </row>
    <row r="3" spans="1:28" x14ac:dyDescent="0.25">
      <c r="A3" s="154"/>
      <c r="B3" s="222"/>
      <c r="C3" s="142"/>
    </row>
    <row r="4" spans="1:28" s="10" customFormat="1" x14ac:dyDescent="0.3">
      <c r="A4" s="8" t="s">
        <v>75</v>
      </c>
      <c r="B4" s="9" t="s">
        <v>871</v>
      </c>
      <c r="C4" s="9" t="s">
        <v>77</v>
      </c>
      <c r="D4" s="9" t="s">
        <v>78</v>
      </c>
      <c r="E4" s="8" t="s">
        <v>79</v>
      </c>
      <c r="F4" s="62"/>
      <c r="G4" s="62"/>
      <c r="H4" s="62"/>
      <c r="I4" s="62"/>
      <c r="J4" s="62"/>
      <c r="K4" s="62"/>
      <c r="L4" s="62"/>
      <c r="M4" s="62"/>
      <c r="N4" s="62"/>
      <c r="O4" s="62"/>
      <c r="P4" s="62"/>
      <c r="Q4" s="62"/>
      <c r="R4" s="62"/>
      <c r="S4" s="62"/>
      <c r="T4" s="62"/>
      <c r="U4" s="62"/>
      <c r="V4" s="62"/>
      <c r="W4" s="62"/>
      <c r="X4" s="62"/>
      <c r="Y4" s="62"/>
      <c r="Z4" s="62"/>
      <c r="AA4" s="62"/>
      <c r="AB4" s="62"/>
    </row>
    <row r="5" spans="1:28" s="15" customFormat="1" ht="60" x14ac:dyDescent="0.25">
      <c r="A5" s="11" t="s">
        <v>80</v>
      </c>
      <c r="B5" s="12">
        <f>SUM(B6:B7)</f>
        <v>0</v>
      </c>
      <c r="C5" s="12">
        <f>SUM(C6:C7)</f>
        <v>0</v>
      </c>
      <c r="D5" s="13"/>
      <c r="E5" s="14"/>
      <c r="F5" s="63"/>
      <c r="G5" s="63"/>
      <c r="H5" s="63"/>
      <c r="I5" s="63"/>
      <c r="J5" s="63"/>
      <c r="K5" s="63"/>
      <c r="L5" s="63"/>
      <c r="M5" s="63"/>
      <c r="N5" s="63"/>
      <c r="O5" s="63"/>
      <c r="P5" s="63"/>
      <c r="Q5" s="63"/>
      <c r="R5" s="63"/>
      <c r="S5" s="63"/>
      <c r="T5" s="63"/>
      <c r="U5" s="63"/>
      <c r="V5" s="63"/>
      <c r="W5" s="63"/>
      <c r="X5" s="63"/>
      <c r="Y5" s="63"/>
      <c r="Z5" s="63"/>
      <c r="AA5" s="63"/>
      <c r="AB5" s="63"/>
    </row>
    <row r="6" spans="1:28" s="15" customFormat="1" ht="120" x14ac:dyDescent="0.25">
      <c r="A6" s="14" t="s">
        <v>81</v>
      </c>
      <c r="B6" s="16"/>
      <c r="C6" s="16"/>
      <c r="D6" s="33" t="s">
        <v>872</v>
      </c>
      <c r="E6" s="24" t="s">
        <v>873</v>
      </c>
      <c r="F6" s="63"/>
      <c r="G6" s="63"/>
      <c r="H6" s="63"/>
      <c r="I6" s="63"/>
      <c r="J6" s="63"/>
      <c r="K6" s="63"/>
      <c r="L6" s="63"/>
      <c r="M6" s="63"/>
      <c r="N6" s="63"/>
      <c r="O6" s="63"/>
      <c r="P6" s="63"/>
      <c r="Q6" s="63"/>
      <c r="R6" s="63"/>
      <c r="S6" s="63"/>
      <c r="T6" s="63"/>
      <c r="U6" s="63"/>
      <c r="V6" s="63"/>
      <c r="W6" s="63"/>
      <c r="X6" s="63"/>
      <c r="Y6" s="63"/>
      <c r="Z6" s="63"/>
      <c r="AA6" s="63"/>
      <c r="AB6" s="63"/>
    </row>
    <row r="7" spans="1:28" s="15" customFormat="1" ht="45" x14ac:dyDescent="0.25">
      <c r="A7" s="14" t="s">
        <v>84</v>
      </c>
      <c r="B7" s="17"/>
      <c r="C7" s="17"/>
      <c r="D7" s="13"/>
      <c r="E7" s="83"/>
      <c r="F7" s="63"/>
      <c r="G7" s="63"/>
      <c r="H7" s="63"/>
      <c r="I7" s="63"/>
      <c r="J7" s="63"/>
      <c r="K7" s="63"/>
      <c r="L7" s="63"/>
      <c r="M7" s="63"/>
      <c r="N7" s="63"/>
      <c r="O7" s="63"/>
      <c r="P7" s="63"/>
      <c r="Q7" s="63"/>
      <c r="R7" s="63"/>
      <c r="S7" s="63"/>
      <c r="T7" s="63"/>
      <c r="U7" s="63"/>
      <c r="V7" s="63"/>
      <c r="W7" s="63"/>
      <c r="X7" s="63"/>
      <c r="Y7" s="63"/>
      <c r="Z7" s="63"/>
      <c r="AA7" s="63"/>
      <c r="AB7" s="63"/>
    </row>
    <row r="8" spans="1:28" ht="30" x14ac:dyDescent="0.25">
      <c r="A8" s="11" t="s">
        <v>87</v>
      </c>
      <c r="B8" s="12">
        <f>SUM(B9:B11)</f>
        <v>0</v>
      </c>
      <c r="C8" s="12">
        <f>SUM(C9:C11)</f>
        <v>0</v>
      </c>
      <c r="D8" s="13"/>
      <c r="E8" s="14"/>
    </row>
    <row r="9" spans="1:28" ht="60" x14ac:dyDescent="0.25">
      <c r="A9" s="14" t="s">
        <v>88</v>
      </c>
      <c r="B9" s="16"/>
      <c r="C9" s="16"/>
      <c r="D9" s="13"/>
      <c r="E9" s="14"/>
    </row>
    <row r="10" spans="1:28" ht="47.4" customHeight="1" x14ac:dyDescent="0.25">
      <c r="A10" s="14" t="s">
        <v>90</v>
      </c>
      <c r="B10" s="16"/>
      <c r="C10" s="16"/>
      <c r="D10" s="13" t="s">
        <v>874</v>
      </c>
      <c r="E10" s="260" t="s">
        <v>846</v>
      </c>
    </row>
    <row r="11" spans="1:28" x14ac:dyDescent="0.25">
      <c r="A11" s="14" t="s">
        <v>92</v>
      </c>
      <c r="B11" s="16"/>
      <c r="C11" s="16"/>
      <c r="D11" s="13"/>
      <c r="E11" s="14"/>
    </row>
    <row r="12" spans="1:28" ht="45" x14ac:dyDescent="0.25">
      <c r="A12" s="11" t="s">
        <v>93</v>
      </c>
      <c r="B12" s="12">
        <f>SUM(B13:B14)</f>
        <v>20000000000</v>
      </c>
      <c r="C12" s="12">
        <f>SUM(C13:C14)</f>
        <v>14119308153.900457</v>
      </c>
      <c r="D12" s="13"/>
      <c r="E12" s="14"/>
    </row>
    <row r="13" spans="1:28" ht="45" x14ac:dyDescent="0.25">
      <c r="A13" s="14" t="s">
        <v>94</v>
      </c>
      <c r="B13" s="16">
        <f>20*10^9</f>
        <v>20000000000</v>
      </c>
      <c r="C13" s="16">
        <f>B13/B36</f>
        <v>14119308153.900457</v>
      </c>
      <c r="D13" s="13" t="s">
        <v>875</v>
      </c>
      <c r="E13" s="260" t="s">
        <v>846</v>
      </c>
    </row>
    <row r="14" spans="1:28" x14ac:dyDescent="0.25">
      <c r="A14" s="14" t="s">
        <v>96</v>
      </c>
      <c r="B14" s="16"/>
      <c r="C14" s="16"/>
      <c r="D14" s="13"/>
      <c r="E14" s="14"/>
    </row>
    <row r="15" spans="1:28" ht="45" x14ac:dyDescent="0.25">
      <c r="A15" s="11" t="s">
        <v>97</v>
      </c>
      <c r="B15" s="12">
        <v>0</v>
      </c>
      <c r="C15" s="12">
        <v>0</v>
      </c>
      <c r="D15" s="13"/>
      <c r="E15" s="14"/>
    </row>
    <row r="16" spans="1:28" ht="30" x14ac:dyDescent="0.25">
      <c r="A16" s="11" t="s">
        <v>98</v>
      </c>
      <c r="B16" s="12">
        <f>SUM(B17:B18)</f>
        <v>40025000000</v>
      </c>
      <c r="C16" s="12">
        <f>SUM(C17:C18)</f>
        <v>28256265442.99329</v>
      </c>
      <c r="E16" s="14"/>
    </row>
    <row r="17" spans="1:5" ht="54" customHeight="1" x14ac:dyDescent="0.25">
      <c r="A17" s="13" t="s">
        <v>99</v>
      </c>
      <c r="B17" s="16">
        <f>0.8*10^9</f>
        <v>800000000</v>
      </c>
      <c r="C17" s="16">
        <f>B17/B36</f>
        <v>564772326.15601838</v>
      </c>
      <c r="D17" s="13" t="s">
        <v>876</v>
      </c>
      <c r="E17" s="260" t="s">
        <v>846</v>
      </c>
    </row>
    <row r="18" spans="1:5" ht="171" customHeight="1" x14ac:dyDescent="0.25">
      <c r="A18" s="13" t="s">
        <v>101</v>
      </c>
      <c r="B18" s="16">
        <f>(5.7+31.5+1.9+0.125)*10^9</f>
        <v>39225000000</v>
      </c>
      <c r="C18" s="16">
        <f>B18/B36</f>
        <v>27691493116.837273</v>
      </c>
      <c r="D18" s="13" t="s">
        <v>877</v>
      </c>
      <c r="E18" s="260" t="s">
        <v>878</v>
      </c>
    </row>
    <row r="19" spans="1:5" ht="30" x14ac:dyDescent="0.25">
      <c r="A19" s="11" t="s">
        <v>103</v>
      </c>
      <c r="B19" s="12">
        <v>0</v>
      </c>
      <c r="C19" s="12">
        <v>0</v>
      </c>
      <c r="D19" s="13"/>
      <c r="E19" s="21"/>
    </row>
    <row r="20" spans="1:5" x14ac:dyDescent="0.25">
      <c r="A20" s="14" t="s">
        <v>104</v>
      </c>
      <c r="B20" s="16"/>
      <c r="C20" s="16"/>
      <c r="D20" s="13"/>
      <c r="E20" s="21"/>
    </row>
    <row r="21" spans="1:5" ht="30" x14ac:dyDescent="0.25">
      <c r="A21" s="22" t="s">
        <v>105</v>
      </c>
      <c r="B21" s="12">
        <f>SUM(B22,B24)</f>
        <v>0</v>
      </c>
      <c r="C21" s="12">
        <f>SUM(C22,C24)</f>
        <v>0</v>
      </c>
      <c r="D21" s="13"/>
      <c r="E21" s="14"/>
    </row>
    <row r="22" spans="1:5" x14ac:dyDescent="0.25">
      <c r="A22" s="22" t="s">
        <v>108</v>
      </c>
      <c r="B22" s="16"/>
      <c r="C22" s="16"/>
      <c r="D22" s="13"/>
      <c r="E22" s="14"/>
    </row>
    <row r="23" spans="1:5" x14ac:dyDescent="0.25">
      <c r="A23" s="13" t="s">
        <v>109</v>
      </c>
      <c r="B23" s="16"/>
      <c r="C23" s="16"/>
      <c r="D23" s="13"/>
      <c r="E23" s="14"/>
    </row>
    <row r="24" spans="1:5" x14ac:dyDescent="0.25">
      <c r="A24" s="22" t="s">
        <v>110</v>
      </c>
      <c r="B24" s="16"/>
      <c r="C24" s="16"/>
      <c r="D24" s="13"/>
      <c r="E24" s="14"/>
    </row>
    <row r="25" spans="1:5" x14ac:dyDescent="0.25">
      <c r="A25" s="13" t="s">
        <v>109</v>
      </c>
      <c r="B25" s="16"/>
      <c r="C25" s="16"/>
      <c r="D25" s="13"/>
      <c r="E25" s="14"/>
    </row>
    <row r="26" spans="1:5" x14ac:dyDescent="0.25">
      <c r="A26" s="22" t="s">
        <v>111</v>
      </c>
      <c r="B26" s="12">
        <f>SUM(B27:B29)</f>
        <v>8634984000</v>
      </c>
      <c r="C26" s="12">
        <f>SUM(C27:C29)</f>
        <v>6096000000</v>
      </c>
      <c r="D26" s="13"/>
      <c r="E26" s="14"/>
    </row>
    <row r="27" spans="1:5" ht="60" x14ac:dyDescent="0.25">
      <c r="A27" s="13" t="s">
        <v>112</v>
      </c>
      <c r="B27" s="282">
        <f>C27*B36</f>
        <v>8634984000</v>
      </c>
      <c r="C27" s="282">
        <f>6.096*10^9</f>
        <v>6096000000</v>
      </c>
      <c r="D27" s="33" t="s">
        <v>879</v>
      </c>
      <c r="E27" s="260" t="s">
        <v>846</v>
      </c>
    </row>
    <row r="28" spans="1:5" x14ac:dyDescent="0.25">
      <c r="A28" s="13" t="s">
        <v>115</v>
      </c>
      <c r="B28" s="16"/>
      <c r="C28" s="16"/>
      <c r="D28" s="13"/>
      <c r="E28" s="14"/>
    </row>
    <row r="29" spans="1:5" x14ac:dyDescent="0.25">
      <c r="A29" s="13" t="s">
        <v>116</v>
      </c>
      <c r="B29" s="16">
        <f>SUM(B30:B31)</f>
        <v>0</v>
      </c>
      <c r="C29" s="16">
        <f>SUM(C30:C31)</f>
        <v>0</v>
      </c>
      <c r="D29" s="13"/>
      <c r="E29" s="14"/>
    </row>
    <row r="30" spans="1:5" x14ac:dyDescent="0.25">
      <c r="A30" s="25" t="s">
        <v>117</v>
      </c>
      <c r="B30" s="26"/>
      <c r="C30" s="26"/>
      <c r="D30" s="25"/>
      <c r="E30" s="29"/>
    </row>
    <row r="31" spans="1:5" x14ac:dyDescent="0.25">
      <c r="A31" s="25" t="s">
        <v>118</v>
      </c>
      <c r="B31" s="26"/>
      <c r="C31" s="26"/>
      <c r="D31" s="25"/>
      <c r="E31" s="29"/>
    </row>
    <row r="32" spans="1:5" x14ac:dyDescent="0.25">
      <c r="A32" s="11" t="s">
        <v>119</v>
      </c>
      <c r="B32" s="12">
        <v>0</v>
      </c>
      <c r="C32" s="12">
        <v>0</v>
      </c>
      <c r="D32" s="56"/>
      <c r="E32" s="14"/>
    </row>
    <row r="33" spans="1:5" x14ac:dyDescent="0.25">
      <c r="A33" s="31"/>
      <c r="B33" s="120"/>
      <c r="C33" s="120"/>
      <c r="D33" s="33"/>
      <c r="E33" s="34"/>
    </row>
    <row r="34" spans="1:5" x14ac:dyDescent="0.25">
      <c r="A34" s="35" t="s">
        <v>120</v>
      </c>
      <c r="B34" s="265">
        <f>(SUM(B5,B8,B12,B15,B16))</f>
        <v>60025000000</v>
      </c>
      <c r="C34" s="265">
        <f>(SUM(C5,C8,C12,C15,C16))</f>
        <v>42375573596.893745</v>
      </c>
    </row>
    <row r="35" spans="1:5" x14ac:dyDescent="0.25">
      <c r="A35" s="31"/>
      <c r="B35" s="39"/>
      <c r="C35" s="40"/>
    </row>
    <row r="36" spans="1:5" x14ac:dyDescent="0.25">
      <c r="A36" s="31" t="s">
        <v>121</v>
      </c>
      <c r="B36" s="268">
        <v>1.4165000000000001</v>
      </c>
      <c r="C36" s="42"/>
    </row>
    <row r="37" spans="1:5" x14ac:dyDescent="0.25">
      <c r="A37" s="43" t="s">
        <v>122</v>
      </c>
      <c r="B37" s="269">
        <v>498084000000</v>
      </c>
      <c r="C37" s="269">
        <v>362818000000</v>
      </c>
    </row>
    <row r="38" spans="1:5" x14ac:dyDescent="0.25">
      <c r="A38" s="43" t="s">
        <v>123</v>
      </c>
      <c r="B38" s="269">
        <v>5638676</v>
      </c>
      <c r="C38" s="152"/>
    </row>
    <row r="39" spans="1:5" x14ac:dyDescent="0.25">
      <c r="A39" s="43"/>
      <c r="B39" s="44"/>
      <c r="C39" s="44"/>
    </row>
    <row r="40" spans="1:5" x14ac:dyDescent="0.25">
      <c r="A40" s="5"/>
      <c r="B40" s="46" t="s">
        <v>880</v>
      </c>
      <c r="C40" s="47" t="s">
        <v>125</v>
      </c>
    </row>
    <row r="41" spans="1:5" x14ac:dyDescent="0.25">
      <c r="A41" s="43" t="s">
        <v>126</v>
      </c>
      <c r="B41" s="269">
        <f>$B37/$B38</f>
        <v>88333.502403755774</v>
      </c>
      <c r="C41" s="269">
        <f>$C37/$B38</f>
        <v>64344.537618405455</v>
      </c>
    </row>
    <row r="42" spans="1:5" x14ac:dyDescent="0.25">
      <c r="A42" s="43" t="s">
        <v>127</v>
      </c>
      <c r="B42" s="268">
        <f>($B34/$B37)*100</f>
        <v>12.051180122228379</v>
      </c>
      <c r="C42" s="96"/>
    </row>
    <row r="43" spans="1:5" x14ac:dyDescent="0.25">
      <c r="A43" s="43" t="s">
        <v>128</v>
      </c>
      <c r="B43" s="268">
        <f>B34/B38</f>
        <v>10645.229482949544</v>
      </c>
      <c r="C43" s="268">
        <f>C34/B38</f>
        <v>7515.1637719375512</v>
      </c>
    </row>
    <row r="44" spans="1:5" x14ac:dyDescent="0.25">
      <c r="A44" s="43"/>
      <c r="B44" s="50"/>
      <c r="C44" s="50"/>
    </row>
    <row r="45" spans="1:5" x14ac:dyDescent="0.25">
      <c r="A45" s="335" t="s">
        <v>1052</v>
      </c>
      <c r="B45" s="50"/>
      <c r="C45" s="50"/>
    </row>
    <row r="46" spans="1:5" x14ac:dyDescent="0.25">
      <c r="A46" s="43"/>
      <c r="B46" s="50"/>
      <c r="C46" s="50"/>
    </row>
    <row r="47" spans="1:5" x14ac:dyDescent="0.25">
      <c r="A47" s="43"/>
      <c r="B47" s="51"/>
    </row>
    <row r="48" spans="1:5" x14ac:dyDescent="0.25">
      <c r="A48" s="43" t="s">
        <v>129</v>
      </c>
    </row>
    <row r="49" spans="1:28" x14ac:dyDescent="0.25">
      <c r="A49" s="277" t="s">
        <v>130</v>
      </c>
    </row>
    <row r="51" spans="1:28" x14ac:dyDescent="0.25">
      <c r="A51" s="43" t="s">
        <v>131</v>
      </c>
    </row>
    <row r="52" spans="1:28" x14ac:dyDescent="0.25">
      <c r="A52" s="279" t="s">
        <v>881</v>
      </c>
      <c r="B52" s="37"/>
      <c r="C52" s="37"/>
      <c r="E52" s="37"/>
    </row>
    <row r="53" spans="1:28" ht="15.6" customHeight="1" x14ac:dyDescent="0.25">
      <c r="A53" s="230" t="s">
        <v>870</v>
      </c>
      <c r="B53" s="55"/>
      <c r="C53" s="55"/>
      <c r="D53" s="55"/>
      <c r="E53" s="55"/>
    </row>
    <row r="54" spans="1:28" x14ac:dyDescent="0.25">
      <c r="A54" s="55"/>
      <c r="B54" s="55"/>
      <c r="C54" s="55"/>
      <c r="D54" s="55"/>
      <c r="E54" s="55"/>
    </row>
    <row r="55" spans="1:28" s="38" customFormat="1" ht="14.4" customHeight="1" x14ac:dyDescent="0.25">
      <c r="A55" s="5"/>
      <c r="D55" s="37"/>
      <c r="F55" s="70"/>
      <c r="G55" s="70"/>
      <c r="H55" s="70"/>
      <c r="I55" s="70"/>
      <c r="J55" s="70"/>
      <c r="K55" s="70"/>
      <c r="L55" s="70"/>
      <c r="M55" s="70"/>
      <c r="N55" s="70"/>
      <c r="O55" s="70"/>
      <c r="P55" s="70"/>
      <c r="Q55" s="70"/>
      <c r="R55" s="70"/>
      <c r="S55" s="70"/>
      <c r="T55" s="70"/>
      <c r="U55" s="70"/>
      <c r="V55" s="70"/>
      <c r="W55" s="70"/>
      <c r="X55" s="70"/>
      <c r="Y55" s="70"/>
      <c r="Z55" s="70"/>
      <c r="AA55" s="70"/>
      <c r="AB55" s="70"/>
    </row>
    <row r="56" spans="1:28" s="38" customFormat="1" ht="14.4" customHeight="1" x14ac:dyDescent="0.3">
      <c r="A56" s="364" t="s">
        <v>1060</v>
      </c>
      <c r="B56" s="364"/>
      <c r="C56" s="364"/>
      <c r="D56" s="364"/>
      <c r="E56" s="364"/>
      <c r="F56" s="70"/>
      <c r="G56" s="70"/>
      <c r="H56" s="70"/>
      <c r="I56" s="70"/>
      <c r="J56" s="70"/>
      <c r="K56" s="70"/>
      <c r="L56" s="70"/>
      <c r="M56" s="70"/>
      <c r="N56" s="70"/>
      <c r="O56" s="70"/>
      <c r="P56" s="70"/>
      <c r="Q56" s="70"/>
      <c r="R56" s="70"/>
      <c r="S56" s="70"/>
      <c r="T56" s="70"/>
      <c r="U56" s="70"/>
      <c r="V56" s="70"/>
      <c r="W56" s="70"/>
      <c r="X56" s="70"/>
      <c r="Y56" s="70"/>
      <c r="Z56" s="70"/>
      <c r="AA56" s="70"/>
      <c r="AB56" s="70"/>
    </row>
    <row r="57" spans="1:28" s="38" customFormat="1" ht="14.4" customHeight="1" x14ac:dyDescent="0.3">
      <c r="A57" s="364"/>
      <c r="B57" s="364"/>
      <c r="C57" s="364"/>
      <c r="D57" s="364"/>
      <c r="E57" s="364"/>
      <c r="F57" s="70"/>
      <c r="G57" s="70"/>
      <c r="H57" s="70"/>
      <c r="I57" s="70"/>
      <c r="J57" s="70"/>
      <c r="K57" s="70"/>
      <c r="L57" s="70"/>
      <c r="M57" s="70"/>
      <c r="N57" s="70"/>
      <c r="O57" s="70"/>
      <c r="P57" s="70"/>
      <c r="Q57" s="70"/>
      <c r="R57" s="70"/>
      <c r="S57" s="70"/>
      <c r="T57" s="70"/>
      <c r="U57" s="70"/>
      <c r="V57" s="70"/>
      <c r="W57" s="70"/>
      <c r="X57" s="70"/>
      <c r="Y57" s="70"/>
      <c r="Z57" s="70"/>
      <c r="AA57" s="70"/>
      <c r="AB57" s="70"/>
    </row>
    <row r="58" spans="1:28" s="38" customFormat="1" ht="14.4" customHeight="1" x14ac:dyDescent="0.25">
      <c r="A58" s="5"/>
      <c r="D58" s="37"/>
      <c r="F58" s="70"/>
      <c r="G58" s="70"/>
      <c r="H58" s="70"/>
      <c r="I58" s="70"/>
      <c r="J58" s="70"/>
      <c r="K58" s="70"/>
      <c r="L58" s="70"/>
      <c r="M58" s="70"/>
      <c r="N58" s="70"/>
      <c r="O58" s="70"/>
      <c r="P58" s="70"/>
      <c r="Q58" s="70"/>
      <c r="R58" s="70"/>
      <c r="S58" s="70"/>
      <c r="T58" s="70"/>
      <c r="U58" s="70"/>
      <c r="V58" s="70"/>
      <c r="W58" s="70"/>
      <c r="X58" s="70"/>
      <c r="Y58" s="70"/>
      <c r="Z58" s="70"/>
      <c r="AA58" s="70"/>
      <c r="AB58" s="70"/>
    </row>
    <row r="59" spans="1:28" s="38" customFormat="1" ht="14.4" customHeight="1" x14ac:dyDescent="0.25">
      <c r="A59" s="5"/>
      <c r="D59" s="37"/>
      <c r="F59" s="70"/>
      <c r="G59" s="70"/>
      <c r="H59" s="70"/>
      <c r="I59" s="70"/>
      <c r="J59" s="70"/>
      <c r="K59" s="70"/>
      <c r="L59" s="70"/>
      <c r="M59" s="70"/>
      <c r="N59" s="70"/>
      <c r="O59" s="70"/>
      <c r="P59" s="70"/>
      <c r="Q59" s="70"/>
      <c r="R59" s="70"/>
      <c r="S59" s="70"/>
      <c r="T59" s="70"/>
      <c r="U59" s="70"/>
      <c r="V59" s="70"/>
      <c r="W59" s="70"/>
      <c r="X59" s="70"/>
      <c r="Y59" s="70"/>
      <c r="Z59" s="70"/>
      <c r="AA59" s="70"/>
      <c r="AB59" s="70"/>
    </row>
    <row r="60" spans="1:28" s="38" customFormat="1" ht="14.4" customHeight="1" x14ac:dyDescent="0.25">
      <c r="A60" s="5"/>
      <c r="D60" s="37"/>
      <c r="F60" s="70"/>
      <c r="G60" s="70"/>
      <c r="H60" s="70"/>
      <c r="I60" s="70"/>
      <c r="J60" s="70"/>
      <c r="K60" s="70"/>
      <c r="L60" s="70"/>
      <c r="M60" s="70"/>
      <c r="N60" s="70"/>
      <c r="O60" s="70"/>
      <c r="P60" s="70"/>
      <c r="Q60" s="70"/>
      <c r="R60" s="70"/>
      <c r="S60" s="70"/>
      <c r="T60" s="70"/>
      <c r="U60" s="70"/>
      <c r="V60" s="70"/>
      <c r="W60" s="70"/>
      <c r="X60" s="70"/>
      <c r="Y60" s="70"/>
      <c r="Z60" s="70"/>
      <c r="AA60" s="70"/>
      <c r="AB60" s="70"/>
    </row>
    <row r="61" spans="1:28" s="38" customFormat="1" ht="14.4" customHeight="1" x14ac:dyDescent="0.25">
      <c r="A61" s="5"/>
      <c r="D61" s="37"/>
      <c r="F61" s="70"/>
      <c r="G61" s="70"/>
      <c r="H61" s="70"/>
      <c r="I61" s="70"/>
      <c r="J61" s="70"/>
      <c r="K61" s="70"/>
      <c r="L61" s="70"/>
      <c r="M61" s="70"/>
      <c r="N61" s="70"/>
      <c r="O61" s="70"/>
      <c r="P61" s="70"/>
      <c r="Q61" s="70"/>
      <c r="R61" s="70"/>
      <c r="S61" s="70"/>
      <c r="T61" s="70"/>
      <c r="U61" s="70"/>
      <c r="V61" s="70"/>
      <c r="W61" s="70"/>
      <c r="X61" s="70"/>
      <c r="Y61" s="70"/>
      <c r="Z61" s="70"/>
      <c r="AA61" s="70"/>
      <c r="AB61" s="70"/>
    </row>
    <row r="62" spans="1:28" ht="14.4" customHeight="1" x14ac:dyDescent="0.25"/>
    <row r="63" spans="1:28" ht="14.4" customHeight="1" x14ac:dyDescent="0.25"/>
    <row r="64" spans="1:28" ht="14.4" customHeight="1" x14ac:dyDescent="0.25"/>
    <row r="65" spans="1:1" ht="14.4" customHeight="1" x14ac:dyDescent="0.25"/>
    <row r="66" spans="1:1" ht="14.4" customHeight="1" x14ac:dyDescent="0.25"/>
    <row r="67" spans="1:1" ht="14.4" customHeight="1" x14ac:dyDescent="0.25"/>
    <row r="68" spans="1:1" ht="14.4" customHeight="1" x14ac:dyDescent="0.25"/>
    <row r="69" spans="1:1" ht="14.4" customHeight="1" x14ac:dyDescent="0.25"/>
    <row r="70" spans="1:1" ht="14.4" customHeight="1" x14ac:dyDescent="0.25">
      <c r="A70" s="5"/>
    </row>
    <row r="71" spans="1:1" ht="14.4" customHeight="1" x14ac:dyDescent="0.25"/>
    <row r="72" spans="1:1" ht="14.4" customHeight="1" x14ac:dyDescent="0.25"/>
    <row r="73" spans="1:1" ht="14.4" customHeight="1" x14ac:dyDescent="0.25"/>
    <row r="74" spans="1:1" ht="14.4" customHeight="1" x14ac:dyDescent="0.25"/>
    <row r="75" spans="1:1" ht="14.4" customHeight="1" x14ac:dyDescent="0.25"/>
    <row r="76" spans="1:1" ht="14.4" customHeight="1" x14ac:dyDescent="0.25"/>
    <row r="77" spans="1:1" ht="14.4" customHeight="1" x14ac:dyDescent="0.25"/>
  </sheetData>
  <sheetProtection algorithmName="SHA-512" hashValue="fED6TF9I9+n5GifTJmQQ9xuxY1FeLiTOc/XuVeI0hozvwFxc2OWh0au0wEPz6ALJ34+e/UzMODNq9duwY+w+HA==" saltValue="QX6ZiKi6X2XRjOUlbgB9dw==" spinCount="100000" sheet="1" formatCells="0" formatColumns="0" formatRows="0" insertColumns="0" insertRows="0" insertHyperlinks="0" deleteColumns="0" deleteRows="0" sort="0" autoFilter="0" pivotTables="0"/>
  <mergeCells count="1">
    <mergeCell ref="A56:E57"/>
  </mergeCells>
  <hyperlinks>
    <hyperlink ref="A2" location="Index!B29" display="[Back to Index]" xr:uid="{31A8B365-1BBE-4617-A3EA-2C1DD09A96AE}"/>
  </hyperlink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7AA21BBED24D418C403E4486B8BDA9" ma:contentTypeVersion="13" ma:contentTypeDescription="Create a new document." ma:contentTypeScope="" ma:versionID="3ccb1febb92b4a57615b611f52ebba77">
  <xsd:schema xmlns:xsd="http://www.w3.org/2001/XMLSchema" xmlns:xs="http://www.w3.org/2001/XMLSchema" xmlns:p="http://schemas.microsoft.com/office/2006/metadata/properties" xmlns:ns3="29d3027e-f64e-4c45-8365-50087435dd0d" xmlns:ns4="0b863967-ca5d-46d8-b645-91d6e920c049" targetNamespace="http://schemas.microsoft.com/office/2006/metadata/properties" ma:root="true" ma:fieldsID="6b21184ff14048fffd961fb3a7c052e1" ns3:_="" ns4:_="">
    <xsd:import namespace="29d3027e-f64e-4c45-8365-50087435dd0d"/>
    <xsd:import namespace="0b863967-ca5d-46d8-b645-91d6e920c049"/>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3027e-f64e-4c45-8365-50087435dd0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63967-ca5d-46d8-b645-91d6e920c049"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835C3B-8E38-40E1-9817-43F83F1E4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3027e-f64e-4c45-8365-50087435dd0d"/>
    <ds:schemaRef ds:uri="0b863967-ca5d-46d8-b645-91d6e920c0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492CE-3D1D-49DA-87F1-980676702696}">
  <ds:schemaRefs>
    <ds:schemaRef ds:uri="http://schemas.microsoft.com/sharepoint/v3/contenttype/forms"/>
  </ds:schemaRefs>
</ds:datastoreItem>
</file>

<file path=customXml/itemProps3.xml><?xml version="1.0" encoding="utf-8"?>
<ds:datastoreItem xmlns:ds="http://schemas.openxmlformats.org/officeDocument/2006/customXml" ds:itemID="{F3555741-6D5E-40FC-9531-E2DCF73E6D3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71</vt:i4>
      </vt:variant>
    </vt:vector>
  </HeadingPairs>
  <TitlesOfParts>
    <vt:vector size="71" baseType="lpstr">
      <vt:lpstr>Index</vt:lpstr>
      <vt:lpstr>BRU</vt:lpstr>
      <vt:lpstr>CAM</vt:lpstr>
      <vt:lpstr>INO</vt:lpstr>
      <vt:lpstr>LAO</vt:lpstr>
      <vt:lpstr>MAL</vt:lpstr>
      <vt:lpstr>MYA</vt:lpstr>
      <vt:lpstr>PHI</vt:lpstr>
      <vt:lpstr>SIN</vt:lpstr>
      <vt:lpstr>THA</vt:lpstr>
      <vt:lpstr>TIM </vt:lpstr>
      <vt:lpstr>VIE</vt:lpstr>
      <vt:lpstr>COO</vt:lpstr>
      <vt:lpstr>FIJ</vt:lpstr>
      <vt:lpstr>FSM</vt:lpstr>
      <vt:lpstr>KIR</vt:lpstr>
      <vt:lpstr>NAU</vt:lpstr>
      <vt:lpstr>NIU</vt:lpstr>
      <vt:lpstr>PAL</vt:lpstr>
      <vt:lpstr>PNG</vt:lpstr>
      <vt:lpstr>RMI</vt:lpstr>
      <vt:lpstr>SAM</vt:lpstr>
      <vt:lpstr>SOL</vt:lpstr>
      <vt:lpstr>TON </vt:lpstr>
      <vt:lpstr>TUV</vt:lpstr>
      <vt:lpstr>VAN</vt:lpstr>
      <vt:lpstr>AFG</vt:lpstr>
      <vt:lpstr>ARM</vt:lpstr>
      <vt:lpstr>AZE</vt:lpstr>
      <vt:lpstr>GEO</vt:lpstr>
      <vt:lpstr>KAZ</vt:lpstr>
      <vt:lpstr>KGZ</vt:lpstr>
      <vt:lpstr>PAK</vt:lpstr>
      <vt:lpstr>TAJ </vt:lpstr>
      <vt:lpstr>TKM</vt:lpstr>
      <vt:lpstr>UZB</vt:lpstr>
      <vt:lpstr>HKG</vt:lpstr>
      <vt:lpstr>KOR</vt:lpstr>
      <vt:lpstr>MON</vt:lpstr>
      <vt:lpstr>PRC</vt:lpstr>
      <vt:lpstr>TAP </vt:lpstr>
      <vt:lpstr>BAN</vt:lpstr>
      <vt:lpstr>BHU</vt:lpstr>
      <vt:lpstr>IND</vt:lpstr>
      <vt:lpstr>MLD</vt:lpstr>
      <vt:lpstr>NEP</vt:lpstr>
      <vt:lpstr>SRI</vt:lpstr>
      <vt:lpstr>AUS</vt:lpstr>
      <vt:lpstr>AUT</vt:lpstr>
      <vt:lpstr>BEL</vt:lpstr>
      <vt:lpstr>CAN</vt:lpstr>
      <vt:lpstr>DEN</vt:lpstr>
      <vt:lpstr>FIN</vt:lpstr>
      <vt:lpstr>FRA</vt:lpstr>
      <vt:lpstr>GER</vt:lpstr>
      <vt:lpstr>IRE</vt:lpstr>
      <vt:lpstr>ITA</vt:lpstr>
      <vt:lpstr>JPN</vt:lpstr>
      <vt:lpstr>LUX</vt:lpstr>
      <vt:lpstr>NET</vt:lpstr>
      <vt:lpstr>NOR</vt:lpstr>
      <vt:lpstr>NZL</vt:lpstr>
      <vt:lpstr>POR</vt:lpstr>
      <vt:lpstr>SPA</vt:lpstr>
      <vt:lpstr>SWE</vt:lpstr>
      <vt:lpstr>SWI</vt:lpstr>
      <vt:lpstr>TUR</vt:lpstr>
      <vt:lpstr>UKG</vt:lpstr>
      <vt:lpstr>USA</vt:lpstr>
      <vt:lpstr>ECB</vt:lpstr>
      <vt:lpstr>EU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Faye Bajaro</dc:creator>
  <cp:lastModifiedBy>Gemma Estrada</cp:lastModifiedBy>
  <dcterms:created xsi:type="dcterms:W3CDTF">2020-04-20T05:34:02Z</dcterms:created>
  <dcterms:modified xsi:type="dcterms:W3CDTF">2020-04-21T06:23:02Z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0x010100AD7AA21BBED24D418C403E4486B8BDA9</vt:lpwstr>
  </property>
</Properties>
</file>