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showInkAnnotation="0" autoCompressPictures="0"/>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DD4A232F-3862-7343-A5F7-BA7D4FD12C8B}" xr6:coauthVersionLast="43" xr6:coauthVersionMax="43" xr10:uidLastSave="{00000000-0000-0000-0000-000000000000}"/>
  <bookViews>
    <workbookView xWindow="4080" yWindow="3480" windowWidth="19520" windowHeight="15400" tabRatio="464" xr2:uid="{00000000-000D-0000-FFFF-FFFF00000000}"/>
  </bookViews>
  <sheets>
    <sheet name="stat-annex12" sheetId="1" r:id="rId1"/>
    <sheet name="T11-1205chartdetails" sheetId="17" state="hidden" r:id="rId2"/>
    <sheet name="details" sheetId="18" r:id="rId3"/>
    <sheet name="Sheet2" sheetId="2" r:id="rId4"/>
    <sheet name="Sheet3" sheetId="3" r:id="rId5"/>
    <sheet name="Sheet4" sheetId="4" r:id="rId6"/>
    <sheet name="Sheet5" sheetId="5" r:id="rId7"/>
    <sheet name="Sheet6" sheetId="6" r:id="rId8"/>
    <sheet name="Sheet7" sheetId="7" r:id="rId9"/>
    <sheet name="Sheet8" sheetId="8" r:id="rId10"/>
    <sheet name="Sheet9" sheetId="9" r:id="rId11"/>
    <sheet name="Sheet10" sheetId="10" r:id="rId12"/>
    <sheet name="Sheet11" sheetId="11" r:id="rId13"/>
    <sheet name="Sheet12" sheetId="12" r:id="rId14"/>
    <sheet name="Sheet13" sheetId="13" r:id="rId15"/>
    <sheet name="Sheet14" sheetId="14" r:id="rId16"/>
    <sheet name="Sheet15" sheetId="15" r:id="rId17"/>
    <sheet name="Sheet16" sheetId="16" r:id="rId18"/>
  </sheets>
  <definedNames>
    <definedName name="_xlnm.Print_Area" localSheetId="2">details!$A$1:$Q$46</definedName>
    <definedName name="_xlnm.Print_Area" localSheetId="0">'stat-annex12'!$A$1:$O$46</definedName>
    <definedName name="_xlnm.Print_Area" localSheetId="1">'T11-1205chartdetails'!$A$1:$P$40</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1" l="1"/>
  <c r="H44" i="1" l="1"/>
  <c r="B44" i="1" l="1"/>
  <c r="S42" i="18" l="1"/>
  <c r="P41" i="18"/>
  <c r="O41" i="18"/>
  <c r="M41" i="18"/>
  <c r="H39" i="18"/>
  <c r="Q39" i="18" s="1"/>
  <c r="H38" i="18"/>
  <c r="Q38" i="18"/>
  <c r="H37" i="18"/>
  <c r="Q37" i="18" s="1"/>
  <c r="H36" i="18"/>
  <c r="Q36" i="18"/>
  <c r="R35" i="18"/>
  <c r="H35" i="18"/>
  <c r="Q35" i="18" s="1"/>
  <c r="R34" i="18"/>
  <c r="R31" i="18"/>
  <c r="R32" i="18"/>
  <c r="D34" i="18"/>
  <c r="H34" i="18" s="1"/>
  <c r="Q34" i="18" s="1"/>
  <c r="H33" i="18"/>
  <c r="Q33" i="18"/>
  <c r="F32" i="18"/>
  <c r="H32" i="18" s="1"/>
  <c r="Q32" i="18" s="1"/>
  <c r="H31" i="18"/>
  <c r="Q31" i="18" s="1"/>
  <c r="N30" i="18"/>
  <c r="N41" i="18" s="1"/>
  <c r="D30" i="18"/>
  <c r="H30" i="18" s="1"/>
  <c r="Q30" i="18" s="1"/>
  <c r="B30" i="18"/>
  <c r="B41" i="18" s="1"/>
  <c r="K29" i="18"/>
  <c r="K41" i="18" s="1"/>
  <c r="F29" i="18"/>
  <c r="D29" i="18"/>
  <c r="H29" i="18" s="1"/>
  <c r="Q29" i="18" s="1"/>
  <c r="H28" i="18"/>
  <c r="Q28" i="18" s="1"/>
  <c r="H27" i="18"/>
  <c r="Q27" i="18" s="1"/>
  <c r="H26" i="18"/>
  <c r="Q26" i="18" s="1"/>
  <c r="I25" i="18"/>
  <c r="H25" i="18"/>
  <c r="Q25" i="18" s="1"/>
  <c r="F24" i="18"/>
  <c r="H24" i="18" s="1"/>
  <c r="Q24" i="18" s="1"/>
  <c r="F23" i="18"/>
  <c r="D23" i="18"/>
  <c r="H23" i="18"/>
  <c r="Q23" i="18" s="1"/>
  <c r="H22" i="18"/>
  <c r="Q22" i="18" s="1"/>
  <c r="D21" i="18"/>
  <c r="H21" i="18" s="1"/>
  <c r="Q21" i="18" s="1"/>
  <c r="D13" i="18"/>
  <c r="D15" i="18"/>
  <c r="D16" i="18"/>
  <c r="D17" i="18"/>
  <c r="H20" i="18"/>
  <c r="Q20" i="18" s="1"/>
  <c r="H19" i="18"/>
  <c r="Q19" i="18" s="1"/>
  <c r="H18" i="18"/>
  <c r="Q18" i="18" s="1"/>
  <c r="F17" i="18"/>
  <c r="F16" i="18"/>
  <c r="F15" i="18"/>
  <c r="F14" i="18"/>
  <c r="H14" i="18" s="1"/>
  <c r="Q14" i="18" s="1"/>
  <c r="F13" i="18"/>
  <c r="H12" i="18"/>
  <c r="Q12" i="18" s="1"/>
  <c r="H11" i="18"/>
  <c r="Q11" i="18" s="1"/>
  <c r="H10" i="18"/>
  <c r="Q10" i="18" s="1"/>
  <c r="H9" i="18"/>
  <c r="Q9" i="18" s="1"/>
  <c r="J44" i="1"/>
  <c r="F44" i="1"/>
  <c r="D44" i="1"/>
  <c r="N44" i="1"/>
  <c r="L44" i="1"/>
  <c r="H9" i="17"/>
  <c r="O9" i="17" s="1"/>
  <c r="H10" i="17"/>
  <c r="O10" i="17" s="1"/>
  <c r="H11" i="17"/>
  <c r="O11" i="17" s="1"/>
  <c r="H12" i="17"/>
  <c r="O12" i="17" s="1"/>
  <c r="D13" i="17"/>
  <c r="H13" i="17" s="1"/>
  <c r="O13" i="17" s="1"/>
  <c r="F13" i="17"/>
  <c r="F14" i="17"/>
  <c r="H14" i="17" s="1"/>
  <c r="D15" i="17"/>
  <c r="F15" i="17"/>
  <c r="D16" i="17"/>
  <c r="H16" i="17" s="1"/>
  <c r="O16" i="17" s="1"/>
  <c r="F16" i="17"/>
  <c r="D17" i="17"/>
  <c r="F17" i="17"/>
  <c r="H18" i="17"/>
  <c r="O18" i="17" s="1"/>
  <c r="H19" i="17"/>
  <c r="O19" i="17" s="1"/>
  <c r="H20" i="17"/>
  <c r="O20" i="17" s="1"/>
  <c r="D21" i="17"/>
  <c r="H21" i="17" s="1"/>
  <c r="O21" i="17" s="1"/>
  <c r="H22" i="17"/>
  <c r="O22" i="17" s="1"/>
  <c r="B23" i="17"/>
  <c r="B30" i="17"/>
  <c r="D23" i="17"/>
  <c r="H23" i="17" s="1"/>
  <c r="O23" i="17" s="1"/>
  <c r="F23" i="17"/>
  <c r="F24" i="17"/>
  <c r="H24" i="17" s="1"/>
  <c r="O24" i="17" s="1"/>
  <c r="H25" i="17"/>
  <c r="I25" i="17"/>
  <c r="I33" i="17" s="1"/>
  <c r="P25" i="17"/>
  <c r="H26" i="17"/>
  <c r="O26" i="17" s="1"/>
  <c r="H27" i="17"/>
  <c r="O27" i="17" s="1"/>
  <c r="H28" i="17"/>
  <c r="O28" i="17" s="1"/>
  <c r="D29" i="17"/>
  <c r="H29" i="17" s="1"/>
  <c r="F29" i="17"/>
  <c r="K29" i="17"/>
  <c r="K33" i="17"/>
  <c r="P29" i="17"/>
  <c r="D30" i="17"/>
  <c r="F30" i="17"/>
  <c r="H30" i="17"/>
  <c r="O30" i="17" s="1"/>
  <c r="P30" i="17"/>
  <c r="D31" i="17"/>
  <c r="H31" i="17"/>
  <c r="O31" i="17" s="1"/>
  <c r="L33" i="17"/>
  <c r="M33" i="17"/>
  <c r="I41" i="18"/>
  <c r="O29" i="17" l="1"/>
  <c r="F41" i="18"/>
  <c r="H41" i="18" s="1"/>
  <c r="H17" i="18"/>
  <c r="Q17" i="18" s="1"/>
  <c r="O25" i="17"/>
  <c r="B33" i="17"/>
  <c r="H13" i="18"/>
  <c r="Q13" i="18" s="1"/>
  <c r="D41" i="18"/>
  <c r="H15" i="17"/>
  <c r="O15" i="17" s="1"/>
  <c r="D33" i="17"/>
  <c r="R41" i="18"/>
  <c r="H17" i="17"/>
  <c r="O17" i="17" s="1"/>
  <c r="P33" i="17"/>
  <c r="H16" i="18"/>
  <c r="Q16" i="18" s="1"/>
  <c r="O14" i="17"/>
  <c r="F33" i="17"/>
  <c r="H15" i="18"/>
  <c r="Q15" i="18" s="1"/>
  <c r="Q41" i="18" s="1"/>
  <c r="H33" i="17" l="1"/>
  <c r="O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CLS</author>
  </authors>
  <commentList>
    <comment ref="B30" authorId="0" shapeId="0" xr:uid="{00000000-0006-0000-0100-000001000000}">
      <text>
        <r>
          <rPr>
            <b/>
            <sz val="8"/>
            <color indexed="81"/>
            <rFont val="Tahoma"/>
            <family val="2"/>
          </rPr>
          <t>CLS:</t>
        </r>
        <r>
          <rPr>
            <sz val="8"/>
            <color indexed="81"/>
            <rFont val="Tahoma"/>
            <family val="2"/>
          </rPr>
          <t xml:space="preserve">
16 less 1 due to cancellaiton of IND: Torrent $54.4 loan and $20.6 equity
(less $724.0 proj.cost)</t>
        </r>
      </text>
    </comment>
    <comment ref="P30" authorId="0" shapeId="0" xr:uid="{00000000-0006-0000-0100-000002000000}">
      <text>
        <r>
          <rPr>
            <b/>
            <sz val="8"/>
            <color indexed="81"/>
            <rFont val="Tahoma"/>
            <family val="2"/>
          </rPr>
          <t>CLS:</t>
        </r>
        <r>
          <rPr>
            <sz val="8"/>
            <color indexed="81"/>
            <rFont val="Tahoma"/>
            <family val="2"/>
          </rPr>
          <t xml:space="preserve">
less $724.0 cancellation of IND: Torrent
</t>
        </r>
      </text>
    </comment>
  </commentList>
</comments>
</file>

<file path=xl/sharedStrings.xml><?xml version="1.0" encoding="utf-8"?>
<sst xmlns="http://schemas.openxmlformats.org/spreadsheetml/2006/main" count="132" uniqueCount="98">
  <si>
    <t>(amounts in $ million)</t>
  </si>
  <si>
    <t>Total</t>
  </si>
  <si>
    <t>No. of</t>
  </si>
  <si>
    <t>Equity</t>
  </si>
  <si>
    <t>Year</t>
  </si>
  <si>
    <t>Loan</t>
  </si>
  <si>
    <t>Funds</t>
  </si>
  <si>
    <t>a/  Net of cancellations.</t>
  </si>
  <si>
    <t>b/  Includes equity investments, lines of equity and equity underwriting.</t>
  </si>
  <si>
    <t>ADB</t>
  </si>
  <si>
    <t>- Data not applicable.</t>
  </si>
  <si>
    <t xml:space="preserve"> Total </t>
  </si>
  <si>
    <t xml:space="preserve"> Project </t>
  </si>
  <si>
    <t xml:space="preserve"> Cost </t>
  </si>
  <si>
    <t>Political</t>
  </si>
  <si>
    <t>Risk</t>
  </si>
  <si>
    <t>Guarantee</t>
  </si>
  <si>
    <t>TOTAL</t>
  </si>
  <si>
    <r>
      <t>Projects</t>
    </r>
    <r>
      <rPr>
        <b/>
        <vertAlign val="superscript"/>
        <sz val="8"/>
        <rFont val="Arial"/>
        <family val="2"/>
      </rPr>
      <t>a</t>
    </r>
  </si>
  <si>
    <r>
      <t>Investment</t>
    </r>
    <r>
      <rPr>
        <b/>
        <vertAlign val="superscript"/>
        <sz val="8"/>
        <rFont val="Arial"/>
        <family val="2"/>
      </rPr>
      <t>b</t>
    </r>
  </si>
  <si>
    <r>
      <t>Approvals</t>
    </r>
    <r>
      <rPr>
        <b/>
        <vertAlign val="superscript"/>
        <sz val="8"/>
        <rFont val="Arial"/>
        <family val="2"/>
      </rPr>
      <t>a</t>
    </r>
  </si>
  <si>
    <t>Partial</t>
  </si>
  <si>
    <t>Credit</t>
  </si>
  <si>
    <t>Complementary Loan/</t>
  </si>
  <si>
    <t>Political Risk Guarantee</t>
  </si>
  <si>
    <t>Co-guarantor Program</t>
  </si>
  <si>
    <t>Table 11</t>
  </si>
  <si>
    <t>Swap</t>
  </si>
  <si>
    <t>with</t>
  </si>
  <si>
    <t>DMCs</t>
  </si>
  <si>
    <t>c</t>
  </si>
  <si>
    <t>c/  Includes an approved project for the expansion of the Grameenphone Telecommunications in Bangladesh.</t>
  </si>
  <si>
    <t>PRIVATE SECTOR LOAN AND EQUITY INVESTMENT APPROVALS, BY YEAR, 1983-2005</t>
  </si>
  <si>
    <t>d</t>
  </si>
  <si>
    <t>d/  Includes an approved project for the Inrastructure Development Finance Co. Limited in India.</t>
  </si>
  <si>
    <t>a/  Includes nonsovereign projects processed by the Private Sector Operations Department and various regional operations departments of the Bank.</t>
  </si>
  <si>
    <t>Projects</t>
  </si>
  <si>
    <t xml:space="preserve">     Regional operations departments started nonsovereign operations in 2007.</t>
  </si>
  <si>
    <r>
      <t xml:space="preserve">Investment </t>
    </r>
    <r>
      <rPr>
        <b/>
        <vertAlign val="superscript"/>
        <sz val="11"/>
        <rFont val="Arial"/>
        <family val="2"/>
      </rPr>
      <t>c</t>
    </r>
  </si>
  <si>
    <t>c/  Includes equity investments, lines of equity and equity underwriting.</t>
  </si>
  <si>
    <t>Approvals</t>
  </si>
  <si>
    <t>b/  Net of facilities cancelled in full before signing.</t>
  </si>
  <si>
    <t>d/  Supplementary approvals are not included in the cumulative count of projects.</t>
  </si>
  <si>
    <t>Grant</t>
  </si>
  <si>
    <t>TFP</t>
  </si>
  <si>
    <t>B Loan</t>
  </si>
  <si>
    <t>Supply</t>
  </si>
  <si>
    <t xml:space="preserve">Chain </t>
  </si>
  <si>
    <r>
      <t xml:space="preserve">NONSOVEREIGN APPROVALS BY YEAR, 1983-2012 </t>
    </r>
    <r>
      <rPr>
        <vertAlign val="superscript"/>
        <sz val="11"/>
        <rFont val="Arial"/>
        <family val="2"/>
      </rPr>
      <t>a b</t>
    </r>
  </si>
  <si>
    <r>
      <t xml:space="preserve">Finance </t>
    </r>
    <r>
      <rPr>
        <b/>
        <vertAlign val="superscript"/>
        <sz val="8"/>
        <rFont val="Arial"/>
        <family val="2"/>
      </rPr>
      <t>e</t>
    </r>
  </si>
  <si>
    <t xml:space="preserve">e/  Supply Chain Finance is a program that provides guarantees and loans (both without government guarantee) through partner financial institutions to support payments to suppliers and distributors of goods in ADB's DMCs.  </t>
  </si>
  <si>
    <t xml:space="preserve">Loan </t>
  </si>
  <si>
    <t>f</t>
  </si>
  <si>
    <t>g</t>
  </si>
  <si>
    <t>f/   Includes a $35 million investment in debt security.</t>
  </si>
  <si>
    <t>g/  Includes a local currency complementary loan of $100 million.</t>
  </si>
  <si>
    <t>Statistical Annex 9</t>
  </si>
  <si>
    <t>less IND: ICICI Bank $100 M loan and $100M project cost</t>
  </si>
  <si>
    <t>less GEO: Bank Republic $20M loan, project cost $20M and PRC: Jilin Wind ($60M loan, $120M B loans), IND: Micro, small and medium enterprise PCG250M, project cost 300</t>
  </si>
  <si>
    <t>less LAO: Nam Ngum 3 ($350 M, project cost $1,125 M), PRC: Sino-Green ($25 M equity, $200 M project cost), and IND: Solar Power Generation Guarantee Facility ($150 M PCG, project cost $429 M))</t>
  </si>
  <si>
    <t>Total ADB</t>
  </si>
  <si>
    <t>Partial Credit</t>
  </si>
  <si>
    <t>- = data not applicable, ADB = Asian Development Bank.</t>
  </si>
  <si>
    <t>Investment</t>
  </si>
  <si>
    <t>Commitments</t>
  </si>
  <si>
    <t>Country</t>
  </si>
  <si>
    <t>Afghanistan</t>
  </si>
  <si>
    <t>Armenia</t>
  </si>
  <si>
    <t>Azerbaijan</t>
  </si>
  <si>
    <t>Bangladesh</t>
  </si>
  <si>
    <t>Bhutan</t>
  </si>
  <si>
    <t>Cambodia</t>
  </si>
  <si>
    <t>Georgia</t>
  </si>
  <si>
    <t xml:space="preserve">India </t>
  </si>
  <si>
    <t>Indonesia</t>
  </si>
  <si>
    <t>Kazakhstan</t>
  </si>
  <si>
    <t>Kyrgyz Republic</t>
  </si>
  <si>
    <t>Malaysia</t>
  </si>
  <si>
    <t>Maldives</t>
  </si>
  <si>
    <t>Mongolia</t>
  </si>
  <si>
    <t>Myanmar</t>
  </si>
  <si>
    <t>Nepal</t>
  </si>
  <si>
    <t>Pakistan</t>
  </si>
  <si>
    <t>Papua New Guinea</t>
  </si>
  <si>
    <t>Philippines</t>
  </si>
  <si>
    <t>Samoa</t>
  </si>
  <si>
    <t>Sri Lanka</t>
  </si>
  <si>
    <t>Tajikistan</t>
  </si>
  <si>
    <t>Thailand</t>
  </si>
  <si>
    <t>Uzbekistan</t>
  </si>
  <si>
    <t>Viet Nam</t>
  </si>
  <si>
    <t>Regional</t>
  </si>
  <si>
    <r>
      <rPr>
        <vertAlign val="superscript"/>
        <sz val="6"/>
        <rFont val="Arial"/>
        <family val="2"/>
      </rPr>
      <t>a</t>
    </r>
    <r>
      <rPr>
        <sz val="6"/>
        <rFont val="Arial"/>
        <family val="2"/>
      </rPr>
      <t xml:space="preserve">  Includes nonsovereign projects processed by the Private Sector Operations Department and various regional operations departments of ADB. Regional operations departments started nonsovereign operations in 2007.</t>
    </r>
  </si>
  <si>
    <t>China, People’s Republic of</t>
  </si>
  <si>
    <t>Korea, Republic of</t>
  </si>
  <si>
    <t>Lao People’s Democratic Republic</t>
  </si>
  <si>
    <r>
      <t>Nonsovereign Commitments by Country, Ordinary Capital Resources, 2007–2018</t>
    </r>
    <r>
      <rPr>
        <vertAlign val="superscript"/>
        <sz val="11"/>
        <color theme="1"/>
        <rFont val="Arial"/>
        <family val="2"/>
      </rPr>
      <t>a</t>
    </r>
    <r>
      <rPr>
        <sz val="11"/>
        <color rgb="FF007DB7"/>
        <rFont val="Arial"/>
        <family val="2"/>
      </rPr>
      <t xml:space="preserve"> </t>
    </r>
  </si>
  <si>
    <t>Partial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</si>
</sst>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_);_(* \(#,##0.000\);_(* &quot;-&quot;??_);_(@_)"/>
  </numFmts>
  <fonts count="20">
    <font>
      <sz val="10"/>
      <name val="Arial"/>
    </font>
    <font>
      <sz val="10"/>
      <name val="Arial"/>
      <family val="2"/>
    </font>
    <font>
      <sz val="8"/>
      <name val="Arial"/>
      <family val="2"/>
    </font>
    <font>
      <b/>
      <sz val="8"/>
      <name val="Arial"/>
      <family val="2"/>
    </font>
    <font>
      <vertAlign val="superscript"/>
      <sz val="8"/>
      <name val="Arial"/>
      <family val="2"/>
    </font>
    <font>
      <b/>
      <vertAlign val="superscript"/>
      <sz val="8"/>
      <name val="Arial"/>
      <family val="2"/>
    </font>
    <font>
      <sz val="8"/>
      <color indexed="81"/>
      <name val="Tahoma"/>
      <family val="2"/>
    </font>
    <font>
      <b/>
      <sz val="8"/>
      <color indexed="81"/>
      <name val="Tahoma"/>
      <family val="2"/>
    </font>
    <font>
      <b/>
      <vertAlign val="superscript"/>
      <sz val="11"/>
      <name val="Arial"/>
      <family val="2"/>
    </font>
    <font>
      <vertAlign val="superscript"/>
      <sz val="11"/>
      <name val="Arial"/>
      <family val="2"/>
    </font>
    <font>
      <vertAlign val="superscript"/>
      <sz val="10"/>
      <name val="Arial"/>
      <family val="2"/>
    </font>
    <font>
      <b/>
      <vertAlign val="superscript"/>
      <sz val="10"/>
      <name val="Arial"/>
      <family val="2"/>
    </font>
    <font>
      <b/>
      <sz val="11"/>
      <color rgb="FF007DB7"/>
      <name val="Arial"/>
      <family val="2"/>
    </font>
    <font>
      <sz val="11"/>
      <color rgb="FF007DB7"/>
      <name val="Arial"/>
      <family val="2"/>
    </font>
    <font>
      <sz val="6"/>
      <name val="Arial"/>
      <family val="2"/>
    </font>
    <font>
      <vertAlign val="superscript"/>
      <sz val="6"/>
      <name val="Arial"/>
      <family val="2"/>
    </font>
    <font>
      <u/>
      <sz val="10"/>
      <color theme="10"/>
      <name val="Arial"/>
      <family val="2"/>
    </font>
    <font>
      <u/>
      <sz val="10"/>
      <color theme="11"/>
      <name val="Arial"/>
      <family val="2"/>
    </font>
    <font>
      <vertAlign val="superscript"/>
      <sz val="11"/>
      <color theme="1"/>
      <name val="Arial"/>
      <family val="2"/>
    </font>
    <font>
      <b/>
      <sz val="10"/>
      <name val="Arial"/>
      <family val="2"/>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22">
    <xf numFmtId="0" fontId="0" fillId="0" borderId="0"/>
    <xf numFmtId="43"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94">
    <xf numFmtId="0" fontId="0" fillId="0" borderId="0" xfId="0"/>
    <xf numFmtId="0" fontId="2" fillId="0" borderId="0" xfId="0" applyFont="1"/>
    <xf numFmtId="0" fontId="3" fillId="0" borderId="0" xfId="0" quotePrefix="1" applyFont="1" applyAlignment="1">
      <alignment horizontal="left"/>
    </xf>
    <xf numFmtId="0" fontId="2" fillId="0" borderId="0" xfId="0" quotePrefix="1" applyFont="1" applyAlignment="1">
      <alignment horizontal="left"/>
    </xf>
    <xf numFmtId="0" fontId="2" fillId="0" borderId="0" xfId="0" applyFont="1" applyAlignment="1">
      <alignment horizontal="center"/>
    </xf>
    <xf numFmtId="1" fontId="3" fillId="0" borderId="0" xfId="0" quotePrefix="1" applyNumberFormat="1" applyFont="1" applyAlignment="1">
      <alignment horizontal="center"/>
    </xf>
    <xf numFmtId="1" fontId="2" fillId="0" borderId="0" xfId="0" quotePrefix="1" applyNumberFormat="1" applyFont="1" applyAlignment="1">
      <alignment horizontal="center"/>
    </xf>
    <xf numFmtId="1" fontId="2" fillId="0" borderId="0" xfId="0" applyNumberFormat="1" applyFont="1" applyAlignment="1">
      <alignment horizontal="center"/>
    </xf>
    <xf numFmtId="4" fontId="3" fillId="0" borderId="0" xfId="0" applyNumberFormat="1" applyFont="1" applyAlignment="1">
      <alignment horizontal="left"/>
    </xf>
    <xf numFmtId="4" fontId="2" fillId="0" borderId="0" xfId="1" applyNumberFormat="1" applyFont="1"/>
    <xf numFmtId="4" fontId="2" fillId="0" borderId="0" xfId="0" applyNumberFormat="1" applyFont="1"/>
    <xf numFmtId="4" fontId="3" fillId="0" borderId="1" xfId="1" applyNumberFormat="1" applyFont="1" applyBorder="1" applyAlignment="1">
      <alignment horizontal="center"/>
    </xf>
    <xf numFmtId="4" fontId="3" fillId="0" borderId="0" xfId="1" applyNumberFormat="1" applyFont="1" applyAlignment="1">
      <alignment horizontal="center"/>
    </xf>
    <xf numFmtId="4" fontId="3" fillId="0" borderId="2" xfId="1" applyNumberFormat="1" applyFont="1" applyBorder="1" applyAlignment="1">
      <alignment horizontal="center"/>
    </xf>
    <xf numFmtId="4" fontId="4" fillId="0" borderId="0" xfId="1" applyNumberFormat="1" applyFont="1" applyAlignment="1">
      <alignment horizontal="left"/>
    </xf>
    <xf numFmtId="0" fontId="3" fillId="0" borderId="1" xfId="0" applyFont="1" applyBorder="1" applyAlignment="1">
      <alignment horizontal="center"/>
    </xf>
    <xf numFmtId="1" fontId="3" fillId="0" borderId="1" xfId="0" applyNumberFormat="1" applyFont="1" applyBorder="1" applyAlignment="1">
      <alignment horizontal="center"/>
    </xf>
    <xf numFmtId="4" fontId="3" fillId="0" borderId="1" xfId="0" applyNumberFormat="1" applyFont="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4" fontId="3" fillId="0" borderId="0" xfId="1" applyNumberFormat="1" applyFont="1" applyAlignment="1">
      <alignment horizontal="centerContinuous"/>
    </xf>
    <xf numFmtId="4" fontId="3" fillId="0" borderId="0" xfId="1" quotePrefix="1" applyNumberFormat="1" applyFont="1" applyAlignment="1">
      <alignment horizontal="center"/>
    </xf>
    <xf numFmtId="4" fontId="3" fillId="0" borderId="0" xfId="0" quotePrefix="1" applyNumberFormat="1" applyFont="1" applyAlignment="1">
      <alignment horizontal="center"/>
    </xf>
    <xf numFmtId="0" fontId="3" fillId="0" borderId="2" xfId="0" applyFont="1" applyBorder="1" applyAlignment="1">
      <alignment horizontal="center"/>
    </xf>
    <xf numFmtId="1" fontId="3" fillId="0" borderId="2" xfId="0" quotePrefix="1" applyNumberFormat="1" applyFont="1" applyBorder="1" applyAlignment="1">
      <alignment horizontal="center"/>
    </xf>
    <xf numFmtId="4" fontId="3" fillId="0" borderId="2" xfId="0" quotePrefix="1" applyNumberFormat="1" applyFont="1" applyBorder="1" applyAlignment="1">
      <alignment horizontal="centerContinuous"/>
    </xf>
    <xf numFmtId="4" fontId="3" fillId="0" borderId="2" xfId="1" applyNumberFormat="1" applyFont="1" applyBorder="1" applyAlignment="1">
      <alignment horizontal="centerContinuous"/>
    </xf>
    <xf numFmtId="4" fontId="3" fillId="0" borderId="2" xfId="0" quotePrefix="1" applyNumberFormat="1" applyFont="1" applyBorder="1" applyAlignment="1">
      <alignment horizontal="center"/>
    </xf>
    <xf numFmtId="0" fontId="3" fillId="0" borderId="3" xfId="0" applyFont="1" applyBorder="1"/>
    <xf numFmtId="4" fontId="3" fillId="0" borderId="3" xfId="1" applyNumberFormat="1" applyFont="1" applyBorder="1"/>
    <xf numFmtId="43" fontId="2" fillId="0" borderId="0" xfId="1" applyFont="1"/>
    <xf numFmtId="1" fontId="4" fillId="0" borderId="0" xfId="0" applyNumberFormat="1" applyFont="1" applyAlignment="1">
      <alignment horizontal="left"/>
    </xf>
    <xf numFmtId="1" fontId="3" fillId="0" borderId="3" xfId="1" applyNumberFormat="1" applyFont="1" applyBorder="1" applyAlignment="1">
      <alignment horizontal="center"/>
    </xf>
    <xf numFmtId="1" fontId="2" fillId="0" borderId="0" xfId="1" applyNumberFormat="1" applyFont="1" applyAlignment="1">
      <alignment horizontal="center"/>
    </xf>
    <xf numFmtId="0" fontId="3" fillId="0" borderId="0" xfId="0" applyFont="1" applyAlignment="1">
      <alignment horizontal="left"/>
    </xf>
    <xf numFmtId="43" fontId="3" fillId="0" borderId="1" xfId="1" applyFont="1" applyBorder="1" applyAlignment="1">
      <alignment horizontal="center"/>
    </xf>
    <xf numFmtId="4" fontId="2" fillId="0" borderId="1" xfId="1" applyNumberFormat="1" applyFont="1" applyBorder="1" applyAlignment="1">
      <alignment horizontal="center"/>
    </xf>
    <xf numFmtId="43" fontId="3" fillId="0" borderId="0" xfId="1" applyFont="1" applyAlignment="1">
      <alignment horizontal="centerContinuous"/>
    </xf>
    <xf numFmtId="4" fontId="2" fillId="0" borderId="0" xfId="1" applyNumberFormat="1" applyFont="1" applyAlignment="1">
      <alignment horizontal="center"/>
    </xf>
    <xf numFmtId="43" fontId="3" fillId="0" borderId="2" xfId="1" applyFont="1" applyBorder="1" applyAlignment="1">
      <alignment horizontal="center"/>
    </xf>
    <xf numFmtId="43" fontId="3" fillId="0" borderId="2" xfId="1" applyFont="1" applyBorder="1" applyAlignment="1">
      <alignment horizontal="centerContinuous"/>
    </xf>
    <xf numFmtId="4" fontId="2" fillId="0" borderId="2" xfId="1" applyNumberFormat="1" applyFont="1" applyBorder="1" applyAlignment="1">
      <alignment horizontal="center"/>
    </xf>
    <xf numFmtId="2" fontId="2" fillId="0" borderId="0" xfId="0" applyNumberFormat="1" applyFont="1"/>
    <xf numFmtId="43" fontId="3" fillId="0" borderId="3" xfId="1" applyFont="1" applyBorder="1"/>
    <xf numFmtId="43" fontId="3" fillId="0" borderId="0" xfId="1" applyFont="1" applyAlignment="1">
      <alignment horizontal="center"/>
    </xf>
    <xf numFmtId="3" fontId="3" fillId="0" borderId="3" xfId="1" applyNumberFormat="1" applyFont="1" applyBorder="1" applyAlignment="1">
      <alignment horizontal="center"/>
    </xf>
    <xf numFmtId="164" fontId="2" fillId="0" borderId="0" xfId="1" applyNumberFormat="1" applyFont="1"/>
    <xf numFmtId="4" fontId="10" fillId="0" borderId="0" xfId="1" applyNumberFormat="1" applyFont="1"/>
    <xf numFmtId="1" fontId="11" fillId="0" borderId="3" xfId="1" applyNumberFormat="1" applyFont="1" applyBorder="1" applyAlignment="1">
      <alignment horizontal="center"/>
    </xf>
    <xf numFmtId="0" fontId="12" fillId="0" borderId="0" xfId="0" applyFont="1" applyAlignment="1">
      <alignment horizontal="left"/>
    </xf>
    <xf numFmtId="0" fontId="13" fillId="0" borderId="0" xfId="0" applyFont="1" applyAlignment="1">
      <alignment horizontal="left"/>
    </xf>
    <xf numFmtId="1" fontId="3" fillId="0" borderId="0" xfId="0" quotePrefix="1" applyNumberFormat="1" applyFont="1" applyAlignment="1">
      <alignment horizontal="left"/>
    </xf>
    <xf numFmtId="1" fontId="2" fillId="0" borderId="0" xfId="0" applyNumberFormat="1" applyFont="1" applyAlignment="1">
      <alignment horizontal="left"/>
    </xf>
    <xf numFmtId="0" fontId="14" fillId="0" borderId="0" xfId="0" quotePrefix="1" applyFont="1" applyAlignment="1">
      <alignment horizontal="left"/>
    </xf>
    <xf numFmtId="1" fontId="14" fillId="0" borderId="0" xfId="1" applyNumberFormat="1" applyFont="1" applyAlignment="1">
      <alignment horizontal="center"/>
    </xf>
    <xf numFmtId="1" fontId="14" fillId="0" borderId="0" xfId="1" applyNumberFormat="1" applyFont="1" applyAlignment="1">
      <alignment horizontal="left"/>
    </xf>
    <xf numFmtId="4" fontId="14" fillId="0" borderId="0" xfId="1" applyNumberFormat="1" applyFont="1"/>
    <xf numFmtId="43" fontId="14" fillId="0" borderId="0" xfId="1" applyFont="1"/>
    <xf numFmtId="0" fontId="19" fillId="0" borderId="1" xfId="0" applyFont="1" applyBorder="1" applyAlignment="1">
      <alignment horizontal="center"/>
    </xf>
    <xf numFmtId="4" fontId="19" fillId="0" borderId="1" xfId="1" applyNumberFormat="1" applyFont="1" applyBorder="1" applyAlignment="1">
      <alignment horizontal="center"/>
    </xf>
    <xf numFmtId="0" fontId="19" fillId="0" borderId="2" xfId="0" applyFont="1" applyBorder="1" applyAlignment="1">
      <alignment horizontal="center"/>
    </xf>
    <xf numFmtId="0" fontId="1" fillId="0" borderId="0" xfId="0" applyFont="1"/>
    <xf numFmtId="1" fontId="1" fillId="0" borderId="0" xfId="0" applyNumberFormat="1" applyFont="1" applyAlignment="1">
      <alignment horizontal="center"/>
    </xf>
    <xf numFmtId="1" fontId="1" fillId="0" borderId="0" xfId="0" applyNumberFormat="1" applyFont="1" applyAlignment="1">
      <alignment horizontal="left"/>
    </xf>
    <xf numFmtId="4" fontId="1" fillId="0" borderId="0" xfId="1" applyNumberFormat="1"/>
    <xf numFmtId="43" fontId="1" fillId="0" borderId="0" xfId="1"/>
    <xf numFmtId="0" fontId="1" fillId="0" borderId="0" xfId="0" applyFont="1" applyAlignment="1">
      <alignment horizontal="center"/>
    </xf>
    <xf numFmtId="1" fontId="1" fillId="0" borderId="0" xfId="0" applyNumberFormat="1" applyFont="1" applyAlignment="1">
      <alignment horizontal="right"/>
    </xf>
    <xf numFmtId="43" fontId="1" fillId="0" borderId="0" xfId="1" applyAlignment="1">
      <alignment horizontal="right"/>
    </xf>
    <xf numFmtId="1" fontId="10" fillId="0" borderId="0" xfId="0" applyNumberFormat="1" applyFont="1" applyAlignment="1">
      <alignment horizontal="left"/>
    </xf>
    <xf numFmtId="4" fontId="1" fillId="0" borderId="0" xfId="0" applyNumberFormat="1" applyFont="1"/>
    <xf numFmtId="0" fontId="19" fillId="0" borderId="3" xfId="0" applyFont="1" applyBorder="1"/>
    <xf numFmtId="3" fontId="19" fillId="0" borderId="3" xfId="1" applyNumberFormat="1" applyFont="1" applyBorder="1" applyAlignment="1">
      <alignment horizontal="right"/>
    </xf>
    <xf numFmtId="1" fontId="10" fillId="0" borderId="3" xfId="1" applyNumberFormat="1" applyFont="1" applyBorder="1" applyAlignment="1">
      <alignment horizontal="left"/>
    </xf>
    <xf numFmtId="4" fontId="19" fillId="0" borderId="3" xfId="1" applyNumberFormat="1" applyFont="1" applyBorder="1"/>
    <xf numFmtId="43" fontId="19" fillId="0" borderId="3" xfId="1" applyFont="1" applyBorder="1"/>
    <xf numFmtId="39" fontId="19" fillId="0" borderId="3" xfId="1" applyNumberFormat="1" applyFont="1" applyBorder="1"/>
    <xf numFmtId="0" fontId="1" fillId="0" borderId="0" xfId="0" applyFont="1" applyAlignment="1">
      <alignment horizontal="left"/>
    </xf>
    <xf numFmtId="0" fontId="1" fillId="0" borderId="0" xfId="0" quotePrefix="1" applyFont="1" applyAlignment="1">
      <alignment horizontal="left"/>
    </xf>
    <xf numFmtId="43" fontId="1" fillId="0" borderId="0" xfId="0" applyNumberFormat="1" applyFont="1"/>
    <xf numFmtId="0" fontId="14" fillId="0" borderId="0" xfId="0" applyFont="1" applyAlignment="1">
      <alignment wrapText="1"/>
    </xf>
    <xf numFmtId="4" fontId="19" fillId="0" borderId="1" xfId="1" applyNumberFormat="1" applyFont="1" applyBorder="1" applyAlignment="1">
      <alignment horizontal="center" wrapText="1"/>
    </xf>
    <xf numFmtId="4" fontId="19" fillId="0" borderId="2" xfId="0" quotePrefix="1" applyNumberFormat="1" applyFont="1" applyBorder="1" applyAlignment="1">
      <alignment horizontal="center" wrapText="1"/>
    </xf>
    <xf numFmtId="43" fontId="19" fillId="0" borderId="1" xfId="1" applyFont="1" applyBorder="1" applyAlignment="1">
      <alignment horizontal="center" wrapText="1"/>
    </xf>
    <xf numFmtId="43" fontId="19" fillId="0" borderId="2" xfId="1" applyFont="1" applyBorder="1" applyAlignment="1">
      <alignment horizontal="center" wrapText="1"/>
    </xf>
    <xf numFmtId="4" fontId="19" fillId="0" borderId="2" xfId="1" applyNumberFormat="1" applyFont="1" applyBorder="1" applyAlignment="1">
      <alignment horizontal="center"/>
    </xf>
    <xf numFmtId="1" fontId="19" fillId="0" borderId="1" xfId="0" quotePrefix="1" applyNumberFormat="1" applyFont="1" applyBorder="1" applyAlignment="1">
      <alignment horizontal="center" wrapText="1"/>
    </xf>
    <xf numFmtId="1" fontId="19" fillId="0" borderId="2" xfId="0" quotePrefix="1" applyNumberFormat="1" applyFont="1" applyBorder="1" applyAlignment="1">
      <alignment horizontal="center" wrapText="1"/>
    </xf>
    <xf numFmtId="4" fontId="19" fillId="0" borderId="1" xfId="0" quotePrefix="1" applyNumberFormat="1" applyFont="1" applyBorder="1" applyAlignment="1">
      <alignment horizontal="center" wrapText="1"/>
    </xf>
    <xf numFmtId="4" fontId="19" fillId="0" borderId="1" xfId="1" quotePrefix="1" applyNumberFormat="1" applyFont="1" applyBorder="1" applyAlignment="1">
      <alignment horizontal="center" wrapText="1"/>
    </xf>
    <xf numFmtId="4" fontId="19" fillId="0" borderId="2" xfId="1" quotePrefix="1" applyNumberFormat="1" applyFont="1" applyBorder="1" applyAlignment="1">
      <alignment horizontal="center" wrapText="1"/>
    </xf>
    <xf numFmtId="4" fontId="19" fillId="0" borderId="2" xfId="1" applyNumberFormat="1" applyFont="1" applyBorder="1" applyAlignment="1">
      <alignment horizontal="center" wrapText="1"/>
    </xf>
    <xf numFmtId="4" fontId="3" fillId="0" borderId="0" xfId="1" applyNumberFormat="1" applyFont="1" applyAlignment="1">
      <alignment horizontal="center"/>
    </xf>
    <xf numFmtId="4" fontId="3" fillId="0" borderId="1" xfId="1" applyNumberFormat="1" applyFont="1" applyBorder="1" applyAlignment="1">
      <alignment horizontal="center"/>
    </xf>
  </cellXfs>
  <cellStyles count="22">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650" b="0" i="0" u="none" strike="noStrike" baseline="0">
                <a:solidFill>
                  <a:srgbClr val="000000"/>
                </a:solidFill>
                <a:latin typeface="Arial"/>
                <a:ea typeface="Arial"/>
                <a:cs typeface="Arial"/>
              </a:defRPr>
            </a:pPr>
            <a:r>
              <a:rPr lang="en-US"/>
              <a:t>PRIVATE SECTOR OPERATIONS, 2000-2004</a:t>
            </a:r>
          </a:p>
          <a:p>
            <a:pPr algn="l">
              <a:defRPr sz="650" b="0" i="0" u="none" strike="noStrike" baseline="0">
                <a:solidFill>
                  <a:srgbClr val="000000"/>
                </a:solidFill>
                <a:latin typeface="Arial"/>
                <a:ea typeface="Arial"/>
                <a:cs typeface="Arial"/>
              </a:defRPr>
            </a:pPr>
            <a:r>
              <a:rPr lang="en-US"/>
              <a:t>($ million)</a:t>
            </a:r>
          </a:p>
        </c:rich>
      </c:tx>
      <c:layout>
        <c:manualLayout>
          <c:xMode val="edge"/>
          <c:yMode val="edge"/>
          <c:x val="1.20481304752478E-2"/>
          <c:y val="0.88889144331411141"/>
        </c:manualLayout>
      </c:layout>
      <c:overlay val="0"/>
      <c:spPr>
        <a:solidFill>
          <a:srgbClr val="C0C0C0"/>
        </a:solidFill>
        <a:ln w="25400">
          <a:noFill/>
        </a:ln>
      </c:spPr>
    </c:title>
    <c:autoTitleDeleted val="0"/>
    <c:plotArea>
      <c:layout>
        <c:manualLayout>
          <c:layoutTarget val="inner"/>
          <c:xMode val="edge"/>
          <c:yMode val="edge"/>
          <c:x val="0.13734955919328801"/>
          <c:y val="1.4619924787340099E-2"/>
          <c:w val="0.71084420985999819"/>
          <c:h val="0.63450473577055799"/>
        </c:manualLayout>
      </c:layout>
      <c:barChart>
        <c:barDir val="bar"/>
        <c:grouping val="clustered"/>
        <c:varyColors val="0"/>
        <c:ser>
          <c:idx val="0"/>
          <c:order val="0"/>
          <c:tx>
            <c:v>Total Funds Mobilized (Total Project Cost)</c:v>
          </c:tx>
          <c:spPr>
            <a:solidFill>
              <a:srgbClr val="00008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'T11-1205chartdetails'!$P$27:$P$31</c:f>
              <c:numCache>
                <c:formatCode>#,##0.00</c:formatCode>
                <c:ptCount val="5"/>
                <c:pt idx="0">
                  <c:v>648</c:v>
                </c:pt>
                <c:pt idx="1">
                  <c:v>1176.5999999999999</c:v>
                </c:pt>
                <c:pt idx="2">
                  <c:v>2300</c:v>
                </c:pt>
                <c:pt idx="3">
                  <c:v>2227.6999999999998</c:v>
                </c:pt>
                <c:pt idx="4">
                  <c:v>8941.6200000000008</c:v>
                </c:pt>
              </c:numCache>
            </c:numRef>
          </c:val>
          <c:extLst>
            <c:ext xmlns:c16="http://schemas.microsoft.com/office/drawing/2014/chart" uri="{C3380CC4-5D6E-409C-BE32-E72D297353CC}">
              <c16:uniqueId val="{00000000-EAE7-49A5-8989-578E9A5CFCBB}"/>
            </c:ext>
          </c:extLst>
        </c:ser>
        <c:ser>
          <c:idx val="1"/>
          <c:order val="1"/>
          <c:tx>
            <c:v>Total Bank Approvals</c:v>
          </c:tx>
          <c:spPr>
            <a:solidFill>
              <a:srgbClr val="FFFF0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'T11-1205chartdetails'!$O$27:$O$31</c:f>
              <c:numCache>
                <c:formatCode>#,##0.00</c:formatCode>
                <c:ptCount val="5"/>
                <c:pt idx="0">
                  <c:v>67.86</c:v>
                </c:pt>
                <c:pt idx="1">
                  <c:v>205.52600000000001</c:v>
                </c:pt>
                <c:pt idx="2">
                  <c:v>542.65</c:v>
                </c:pt>
                <c:pt idx="3">
                  <c:v>666.9</c:v>
                </c:pt>
                <c:pt idx="4">
                  <c:v>821.51700000000005</c:v>
                </c:pt>
              </c:numCache>
            </c:numRef>
          </c:val>
          <c:extLst>
            <c:ext xmlns:c16="http://schemas.microsoft.com/office/drawing/2014/chart" uri="{C3380CC4-5D6E-409C-BE32-E72D297353CC}">
              <c16:uniqueId val="{00000001-EAE7-49A5-8989-578E9A5CFCBB}"/>
            </c:ext>
          </c:extLst>
        </c:ser>
        <c:dLbls>
          <c:showLegendKey val="0"/>
          <c:showVal val="0"/>
          <c:showCatName val="0"/>
          <c:showSerName val="0"/>
          <c:showPercent val="0"/>
          <c:showBubbleSize val="0"/>
        </c:dLbls>
        <c:gapWidth val="150"/>
        <c:axId val="74997248"/>
        <c:axId val="106126080"/>
      </c:barChart>
      <c:catAx>
        <c:axId val="74997248"/>
        <c:scaling>
          <c:orientation val="minMax"/>
        </c:scaling>
        <c:delete val="0"/>
        <c:axPos val="l"/>
        <c:numFmt formatCode="General" sourceLinked="1"/>
        <c:majorTickMark val="none"/>
        <c:minorTickMark val="none"/>
        <c:tickLblPos val="nextTo"/>
        <c:spPr>
          <a:ln w="9525">
            <a:noFill/>
          </a:ln>
        </c:spPr>
        <c:txPr>
          <a:bodyPr rot="0" vert="horz"/>
          <a:lstStyle/>
          <a:p>
            <a:pPr>
              <a:defRPr sz="650" b="0" i="0" u="none" strike="noStrike" baseline="0">
                <a:solidFill>
                  <a:srgbClr val="000000"/>
                </a:solidFill>
                <a:latin typeface="Arial"/>
                <a:ea typeface="Arial"/>
                <a:cs typeface="Arial"/>
              </a:defRPr>
            </a:pPr>
            <a:endParaRPr lang="en-US"/>
          </a:p>
        </c:txPr>
        <c:crossAx val="106126080"/>
        <c:crosses val="autoZero"/>
        <c:auto val="1"/>
        <c:lblAlgn val="ctr"/>
        <c:lblOffset val="100"/>
        <c:tickLblSkip val="1"/>
        <c:tickMarkSkip val="1"/>
        <c:noMultiLvlLbl val="0"/>
      </c:catAx>
      <c:valAx>
        <c:axId val="106126080"/>
        <c:scaling>
          <c:orientation val="minMax"/>
        </c:scaling>
        <c:delete val="1"/>
        <c:axPos val="b"/>
        <c:majorGridlines>
          <c:spPr>
            <a:ln w="3175">
              <a:solidFill>
                <a:srgbClr val="000000"/>
              </a:solidFill>
              <a:prstDash val="solid"/>
            </a:ln>
          </c:spPr>
        </c:majorGridlines>
        <c:numFmt formatCode="#,##0.00" sourceLinked="1"/>
        <c:majorTickMark val="out"/>
        <c:minorTickMark val="none"/>
        <c:tickLblPos val="none"/>
        <c:crossAx val="74997248"/>
        <c:crosses val="autoZero"/>
        <c:crossBetween val="between"/>
      </c:valAx>
      <c:spPr>
        <a:solidFill>
          <a:srgbClr val="008080"/>
        </a:solidFill>
        <a:ln w="25400">
          <a:noFill/>
        </a:ln>
      </c:spPr>
    </c:plotArea>
    <c:legend>
      <c:legendPos val="r"/>
      <c:layout>
        <c:manualLayout>
          <c:xMode val="edge"/>
          <c:yMode val="edge"/>
          <c:x val="0.12885136438177797"/>
          <c:y val="0.74103585657370563"/>
          <c:w val="0.76190371982268701"/>
          <c:h val="9.9601593625498031E-2"/>
        </c:manualLayout>
      </c:layout>
      <c:overlay val="0"/>
      <c:spPr>
        <a:solidFill>
          <a:srgbClr val="008080"/>
        </a:solidFill>
        <a:ln w="25400">
          <a:noFill/>
        </a:ln>
      </c:spPr>
      <c:txPr>
        <a:bodyPr/>
        <a:lstStyle/>
        <a:p>
          <a:pPr>
            <a:defRPr sz="3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008080"/>
    </a:solidFill>
    <a:ln w="9525">
      <a:noFill/>
    </a:ln>
  </c:spPr>
  <c:txPr>
    <a:bodyPr/>
    <a:lstStyle/>
    <a:p>
      <a:pPr>
        <a:defRPr sz="650" b="0" i="0" u="none" strike="noStrike" baseline="0">
          <a:solidFill>
            <a:srgbClr val="000000"/>
          </a:solidFill>
          <a:latin typeface="Arial"/>
          <a:ea typeface="Arial"/>
          <a:cs typeface="Arial"/>
        </a:defRPr>
      </a:pPr>
      <a:endParaRPr lang="en-US"/>
    </a:p>
  </c:txPr>
  <c:printSettings>
    <c:headerFooter/>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519722</xdr:colOff>
      <xdr:row>0</xdr:row>
      <xdr:rowOff>0</xdr:rowOff>
    </xdr:from>
    <xdr:to>
      <xdr:col>9</xdr:col>
      <xdr:colOff>7172</xdr:colOff>
      <xdr:row>4</xdr:row>
      <xdr:rowOff>95099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9722" y="0"/>
          <a:ext cx="4176681" cy="681253"/>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rPr>
            <a:t>www.adb.org/ar2018</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commitments, nonsovereign private sector, countries, members</a:t>
          </a:r>
        </a:p>
      </xdr:txBody>
    </xdr:sp>
    <xdr:clientData/>
  </xdr:twoCellAnchor>
  <xdr:twoCellAnchor editAs="oneCell">
    <xdr:from>
      <xdr:col>0</xdr:col>
      <xdr:colOff>36635</xdr:colOff>
      <xdr:row>0</xdr:row>
      <xdr:rowOff>36635</xdr:rowOff>
    </xdr:from>
    <xdr:to>
      <xdr:col>0</xdr:col>
      <xdr:colOff>425255</xdr:colOff>
      <xdr:row>3</xdr:row>
      <xdr:rowOff>99940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36635" y="36635"/>
          <a:ext cx="388620" cy="502920"/>
        </a:xfrm>
        <a:prstGeom prst="rect">
          <a:avLst/>
        </a:prstGeom>
        <a:ln w="31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42</xdr:row>
      <xdr:rowOff>127000</xdr:rowOff>
    </xdr:from>
    <xdr:to>
      <xdr:col>11</xdr:col>
      <xdr:colOff>190500</xdr:colOff>
      <xdr:row>65</xdr:row>
      <xdr:rowOff>101600</xdr:rowOff>
    </xdr:to>
    <xdr:graphicFrame macro="">
      <xdr:nvGraphicFramePr>
        <xdr:cNvPr id="2132" name="Chart 5">
          <a:extLst>
            <a:ext uri="{FF2B5EF4-FFF2-40B4-BE49-F238E27FC236}">
              <a16:creationId xmlns:a16="http://schemas.microsoft.com/office/drawing/2014/main" id="{00000000-0008-0000-0100-00005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O46"/>
  <sheetViews>
    <sheetView tabSelected="1" view="pageLayout" zoomScale="130" zoomScalePageLayoutView="130" workbookViewId="0">
      <selection activeCell="L12" sqref="L12:M12"/>
    </sheetView>
  </sheetViews>
  <sheetFormatPr baseColWidth="10" defaultColWidth="9.1640625" defaultRowHeight="11.25" customHeight="1"/>
  <cols>
    <col min="1" max="1" width="28.33203125" style="1" customWidth="1"/>
    <col min="2" max="2" width="5.83203125" style="7" customWidth="1"/>
    <col min="3" max="3" width="3" style="52" customWidth="1"/>
    <col min="4" max="4" width="9" style="10" customWidth="1"/>
    <col min="5" max="5" width="2.83203125" style="10" customWidth="1"/>
    <col min="6" max="6" width="9.6640625" style="10" customWidth="1"/>
    <col min="7" max="7" width="2.83203125" style="10" customWidth="1"/>
    <col min="8" max="8" width="10.6640625" style="9" customWidth="1"/>
    <col min="9" max="9" width="2.5" style="9" customWidth="1"/>
    <col min="10" max="10" width="10.33203125" style="9" customWidth="1"/>
    <col min="11" max="11" width="3.1640625" style="9" customWidth="1"/>
    <col min="12" max="12" width="9.83203125" style="9" customWidth="1"/>
    <col min="13" max="13" width="2.83203125" style="9" customWidth="1"/>
    <col min="14" max="14" width="11.1640625" style="30" customWidth="1"/>
    <col min="15" max="15" width="2.1640625" style="30" customWidth="1"/>
    <col min="16" max="16384" width="9.1640625" style="1"/>
  </cols>
  <sheetData>
    <row r="8" spans="1:15" ht="19" customHeight="1">
      <c r="A8" s="49" t="s">
        <v>96</v>
      </c>
      <c r="B8" s="5"/>
      <c r="C8" s="51"/>
      <c r="D8" s="8"/>
      <c r="E8" s="8"/>
      <c r="F8" s="8"/>
      <c r="G8" s="8"/>
    </row>
    <row r="9" spans="1:15" ht="15" customHeight="1">
      <c r="A9" s="50" t="s">
        <v>0</v>
      </c>
      <c r="B9" s="5"/>
      <c r="C9" s="51"/>
      <c r="D9" s="8"/>
      <c r="E9" s="8"/>
      <c r="F9" s="8"/>
      <c r="G9" s="8"/>
    </row>
    <row r="11" spans="1:15" ht="11.25" customHeight="1">
      <c r="A11" s="58"/>
      <c r="B11" s="86" t="s">
        <v>2</v>
      </c>
      <c r="C11" s="86"/>
      <c r="D11" s="59"/>
      <c r="E11" s="59"/>
      <c r="F11" s="88" t="s">
        <v>3</v>
      </c>
      <c r="G11" s="88"/>
      <c r="H11" s="89" t="s">
        <v>60</v>
      </c>
      <c r="I11" s="89"/>
      <c r="J11" s="81" t="s">
        <v>61</v>
      </c>
      <c r="K11" s="81"/>
      <c r="L11" s="81" t="s">
        <v>97</v>
      </c>
      <c r="M11" s="81"/>
      <c r="N11" s="83" t="s">
        <v>60</v>
      </c>
      <c r="O11" s="83"/>
    </row>
    <row r="12" spans="1:15" ht="13">
      <c r="A12" s="60" t="s">
        <v>65</v>
      </c>
      <c r="B12" s="87" t="s">
        <v>36</v>
      </c>
      <c r="C12" s="87"/>
      <c r="D12" s="85" t="s">
        <v>51</v>
      </c>
      <c r="E12" s="85"/>
      <c r="F12" s="82" t="s">
        <v>63</v>
      </c>
      <c r="G12" s="82"/>
      <c r="H12" s="90" t="s">
        <v>6</v>
      </c>
      <c r="I12" s="90"/>
      <c r="J12" s="91" t="s">
        <v>16</v>
      </c>
      <c r="K12" s="91"/>
      <c r="L12" s="82" t="s">
        <v>16</v>
      </c>
      <c r="M12" s="82"/>
      <c r="N12" s="84" t="s">
        <v>64</v>
      </c>
      <c r="O12" s="84"/>
    </row>
    <row r="13" spans="1:15" ht="6" customHeight="1">
      <c r="A13" s="61"/>
      <c r="B13" s="62"/>
      <c r="C13" s="63"/>
      <c r="D13" s="64"/>
      <c r="E13" s="64"/>
      <c r="F13" s="64"/>
      <c r="G13" s="64"/>
      <c r="H13" s="64"/>
      <c r="I13" s="64"/>
      <c r="J13" s="64"/>
      <c r="K13" s="64"/>
      <c r="L13" s="64"/>
      <c r="M13" s="64"/>
      <c r="N13" s="65"/>
      <c r="O13" s="65"/>
    </row>
    <row r="14" spans="1:15" ht="12" customHeight="1">
      <c r="A14" s="77" t="s">
        <v>66</v>
      </c>
      <c r="B14" s="67">
        <v>1</v>
      </c>
      <c r="C14" s="69"/>
      <c r="D14" s="65">
        <v>60</v>
      </c>
      <c r="E14" s="64"/>
      <c r="F14" s="68">
        <v>0</v>
      </c>
      <c r="G14" s="61"/>
      <c r="H14" s="65">
        <v>60</v>
      </c>
      <c r="I14" s="65"/>
      <c r="J14" s="68">
        <v>0</v>
      </c>
      <c r="K14" s="65"/>
      <c r="L14" s="65">
        <v>0</v>
      </c>
      <c r="M14" s="65"/>
      <c r="N14" s="65">
        <v>60</v>
      </c>
      <c r="O14" s="65"/>
    </row>
    <row r="15" spans="1:15" ht="12" customHeight="1">
      <c r="A15" s="77" t="s">
        <v>67</v>
      </c>
      <c r="B15" s="67">
        <v>7</v>
      </c>
      <c r="C15" s="69"/>
      <c r="D15" s="65">
        <v>248</v>
      </c>
      <c r="E15" s="64"/>
      <c r="F15" s="68">
        <v>30</v>
      </c>
      <c r="G15" s="61"/>
      <c r="H15" s="65">
        <v>278</v>
      </c>
      <c r="I15" s="65"/>
      <c r="J15" s="68">
        <v>0</v>
      </c>
      <c r="K15" s="65"/>
      <c r="L15" s="65">
        <v>0</v>
      </c>
      <c r="M15" s="65"/>
      <c r="N15" s="65">
        <v>278</v>
      </c>
      <c r="O15" s="65"/>
    </row>
    <row r="16" spans="1:15" ht="12" customHeight="1">
      <c r="A16" s="77" t="s">
        <v>68</v>
      </c>
      <c r="B16" s="67">
        <v>9</v>
      </c>
      <c r="C16" s="69"/>
      <c r="D16" s="65">
        <v>959.66598537000004</v>
      </c>
      <c r="E16" s="64"/>
      <c r="F16" s="68">
        <v>0</v>
      </c>
      <c r="G16" s="61"/>
      <c r="H16" s="65">
        <v>959.66598537000004</v>
      </c>
      <c r="I16" s="65"/>
      <c r="J16" s="68">
        <v>0</v>
      </c>
      <c r="K16" s="65"/>
      <c r="L16" s="65">
        <v>0</v>
      </c>
      <c r="M16" s="65"/>
      <c r="N16" s="65">
        <v>959.66598537000004</v>
      </c>
      <c r="O16" s="65"/>
    </row>
    <row r="17" spans="1:15" ht="12" customHeight="1">
      <c r="A17" s="77" t="s">
        <v>69</v>
      </c>
      <c r="B17" s="67">
        <v>6</v>
      </c>
      <c r="C17" s="69"/>
      <c r="D17" s="65">
        <v>141.09938399999999</v>
      </c>
      <c r="E17" s="64"/>
      <c r="F17" s="68">
        <v>60</v>
      </c>
      <c r="G17" s="61"/>
      <c r="H17" s="65">
        <v>201.09938399999999</v>
      </c>
      <c r="I17" s="65"/>
      <c r="J17" s="68">
        <v>0</v>
      </c>
      <c r="K17" s="65"/>
      <c r="L17" s="65">
        <v>0</v>
      </c>
      <c r="M17" s="65"/>
      <c r="N17" s="65">
        <v>201.09938399999999</v>
      </c>
      <c r="O17" s="65"/>
    </row>
    <row r="18" spans="1:15" ht="12" customHeight="1">
      <c r="A18" s="77" t="s">
        <v>70</v>
      </c>
      <c r="B18" s="67">
        <v>1</v>
      </c>
      <c r="C18" s="69"/>
      <c r="D18" s="68">
        <v>0</v>
      </c>
      <c r="E18" s="64"/>
      <c r="F18" s="65">
        <v>3</v>
      </c>
      <c r="G18" s="61"/>
      <c r="H18" s="65">
        <v>3</v>
      </c>
      <c r="I18" s="65"/>
      <c r="J18" s="68">
        <v>0</v>
      </c>
      <c r="K18" s="65"/>
      <c r="L18" s="65">
        <v>0</v>
      </c>
      <c r="M18" s="65"/>
      <c r="N18" s="65">
        <v>3</v>
      </c>
      <c r="O18" s="65"/>
    </row>
    <row r="19" spans="1:15" ht="12" customHeight="1">
      <c r="A19" s="77" t="s">
        <v>71</v>
      </c>
      <c r="B19" s="67">
        <v>4</v>
      </c>
      <c r="C19" s="69"/>
      <c r="D19" s="65">
        <v>125.25</v>
      </c>
      <c r="E19" s="64"/>
      <c r="F19" s="68">
        <v>0</v>
      </c>
      <c r="G19" s="61"/>
      <c r="H19" s="65">
        <v>125.25</v>
      </c>
      <c r="I19" s="65"/>
      <c r="J19" s="68">
        <v>0</v>
      </c>
      <c r="K19" s="65"/>
      <c r="L19" s="65">
        <v>0</v>
      </c>
      <c r="M19" s="65"/>
      <c r="N19" s="65">
        <v>125.25</v>
      </c>
      <c r="O19" s="65"/>
    </row>
    <row r="20" spans="1:15" ht="12" customHeight="1">
      <c r="A20" s="77" t="s">
        <v>93</v>
      </c>
      <c r="B20" s="67">
        <v>35</v>
      </c>
      <c r="C20" s="69"/>
      <c r="D20" s="65">
        <v>3189.9831667204498</v>
      </c>
      <c r="E20" s="64"/>
      <c r="F20" s="65">
        <v>122.43221687</v>
      </c>
      <c r="G20" s="61"/>
      <c r="H20" s="65">
        <v>3312.4153835904499</v>
      </c>
      <c r="I20" s="65"/>
      <c r="J20" s="68">
        <v>0</v>
      </c>
      <c r="K20" s="65"/>
      <c r="L20" s="65">
        <v>0</v>
      </c>
      <c r="M20" s="65"/>
      <c r="N20" s="65">
        <v>3312.4153835904499</v>
      </c>
      <c r="O20" s="65"/>
    </row>
    <row r="21" spans="1:15" ht="12" customHeight="1">
      <c r="A21" s="77" t="s">
        <v>72</v>
      </c>
      <c r="B21" s="67">
        <v>7</v>
      </c>
      <c r="C21" s="69"/>
      <c r="D21" s="65">
        <v>329.851</v>
      </c>
      <c r="E21" s="64"/>
      <c r="F21" s="68">
        <v>0</v>
      </c>
      <c r="G21" s="61"/>
      <c r="H21" s="65">
        <v>329.851</v>
      </c>
      <c r="I21" s="65"/>
      <c r="J21" s="68">
        <v>0</v>
      </c>
      <c r="K21" s="65"/>
      <c r="L21" s="65">
        <v>0</v>
      </c>
      <c r="M21" s="65"/>
      <c r="N21" s="65">
        <v>329.851</v>
      </c>
      <c r="O21" s="65"/>
    </row>
    <row r="22" spans="1:15" ht="12" customHeight="1">
      <c r="A22" s="77" t="s">
        <v>73</v>
      </c>
      <c r="B22" s="67">
        <v>43</v>
      </c>
      <c r="C22" s="69"/>
      <c r="D22" s="65">
        <v>4268.7797752857896</v>
      </c>
      <c r="E22" s="64"/>
      <c r="F22" s="65">
        <v>429.93180966999995</v>
      </c>
      <c r="G22" s="61"/>
      <c r="H22" s="65">
        <v>4698.7115849557895</v>
      </c>
      <c r="I22" s="65"/>
      <c r="J22" s="65">
        <v>12.33549506</v>
      </c>
      <c r="K22" s="65"/>
      <c r="L22" s="65">
        <v>0</v>
      </c>
      <c r="M22" s="65"/>
      <c r="N22" s="65">
        <v>4711.0470800157891</v>
      </c>
      <c r="O22" s="65"/>
    </row>
    <row r="23" spans="1:15" ht="12" customHeight="1">
      <c r="A23" s="77" t="s">
        <v>74</v>
      </c>
      <c r="B23" s="67">
        <v>12</v>
      </c>
      <c r="C23" s="69"/>
      <c r="D23" s="65">
        <v>1373.4782046300002</v>
      </c>
      <c r="E23" s="64"/>
      <c r="F23" s="65">
        <v>49.284176000000002</v>
      </c>
      <c r="G23" s="61"/>
      <c r="H23" s="65">
        <v>1422.7623806300003</v>
      </c>
      <c r="I23" s="65"/>
      <c r="J23" s="65">
        <v>5.8602630400000004</v>
      </c>
      <c r="K23" s="65"/>
      <c r="L23" s="65">
        <v>0</v>
      </c>
      <c r="M23" s="65"/>
      <c r="N23" s="65">
        <v>1428.6226436700003</v>
      </c>
      <c r="O23" s="65"/>
    </row>
    <row r="24" spans="1:15" ht="12" customHeight="1">
      <c r="A24" s="77" t="s">
        <v>75</v>
      </c>
      <c r="B24" s="67">
        <v>5</v>
      </c>
      <c r="C24" s="69"/>
      <c r="D24" s="65">
        <v>248.6496124</v>
      </c>
      <c r="E24" s="64"/>
      <c r="F24" s="68">
        <v>0</v>
      </c>
      <c r="G24" s="61"/>
      <c r="H24" s="65">
        <v>248.6496124</v>
      </c>
      <c r="I24" s="65"/>
      <c r="J24" s="65">
        <v>100</v>
      </c>
      <c r="K24" s="65"/>
      <c r="L24" s="65">
        <v>0</v>
      </c>
      <c r="M24" s="65"/>
      <c r="N24" s="65">
        <v>348.64961240000002</v>
      </c>
      <c r="O24" s="65"/>
    </row>
    <row r="25" spans="1:15" ht="12" customHeight="1">
      <c r="A25" s="77" t="s">
        <v>94</v>
      </c>
      <c r="B25" s="67"/>
      <c r="C25" s="69"/>
      <c r="D25" s="68">
        <v>0</v>
      </c>
      <c r="E25" s="64"/>
      <c r="F25" s="68">
        <v>0</v>
      </c>
      <c r="G25" s="61"/>
      <c r="H25" s="68">
        <v>0</v>
      </c>
      <c r="I25" s="65"/>
      <c r="J25" s="68">
        <v>0</v>
      </c>
      <c r="K25" s="65"/>
      <c r="L25" s="65">
        <v>0</v>
      </c>
      <c r="M25" s="65"/>
      <c r="N25" s="65">
        <v>0</v>
      </c>
      <c r="O25" s="65"/>
    </row>
    <row r="26" spans="1:15" ht="12" customHeight="1">
      <c r="A26" s="77" t="s">
        <v>76</v>
      </c>
      <c r="B26" s="67">
        <v>2</v>
      </c>
      <c r="C26" s="69"/>
      <c r="D26" s="65">
        <v>20</v>
      </c>
      <c r="E26" s="64"/>
      <c r="F26" s="68">
        <v>0</v>
      </c>
      <c r="G26" s="61"/>
      <c r="H26" s="65">
        <v>20</v>
      </c>
      <c r="I26" s="65"/>
      <c r="J26" s="68">
        <v>0</v>
      </c>
      <c r="K26" s="65"/>
      <c r="L26" s="65">
        <v>0</v>
      </c>
      <c r="M26" s="65"/>
      <c r="N26" s="65">
        <v>20</v>
      </c>
      <c r="O26" s="65"/>
    </row>
    <row r="27" spans="1:15" ht="12" customHeight="1">
      <c r="A27" s="77" t="s">
        <v>95</v>
      </c>
      <c r="B27" s="67">
        <v>1</v>
      </c>
      <c r="C27" s="69"/>
      <c r="D27" s="65">
        <v>144.76604631999999</v>
      </c>
      <c r="E27" s="64"/>
      <c r="F27" s="68">
        <v>0</v>
      </c>
      <c r="G27" s="61"/>
      <c r="H27" s="65">
        <v>144.76604631999999</v>
      </c>
      <c r="I27" s="65"/>
      <c r="J27" s="68">
        <v>0</v>
      </c>
      <c r="K27" s="65"/>
      <c r="L27" s="65">
        <v>0</v>
      </c>
      <c r="M27" s="65"/>
      <c r="N27" s="65">
        <v>144.76604631999999</v>
      </c>
      <c r="O27" s="65"/>
    </row>
    <row r="28" spans="1:15" ht="12" customHeight="1">
      <c r="A28" s="77" t="s">
        <v>77</v>
      </c>
      <c r="B28" s="67">
        <v>1</v>
      </c>
      <c r="C28" s="69"/>
      <c r="D28" s="65">
        <v>10</v>
      </c>
      <c r="E28" s="64"/>
      <c r="F28" s="68">
        <v>0</v>
      </c>
      <c r="G28" s="61"/>
      <c r="H28" s="65">
        <v>10</v>
      </c>
      <c r="I28" s="65"/>
      <c r="J28" s="68">
        <v>0</v>
      </c>
      <c r="K28" s="65"/>
      <c r="L28" s="65">
        <v>0</v>
      </c>
      <c r="M28" s="65"/>
      <c r="N28" s="65">
        <v>10</v>
      </c>
      <c r="O28" s="65"/>
    </row>
    <row r="29" spans="1:15" ht="12" customHeight="1">
      <c r="A29" s="77" t="s">
        <v>78</v>
      </c>
      <c r="B29" s="67">
        <v>2</v>
      </c>
      <c r="C29" s="69"/>
      <c r="D29" s="65">
        <v>12</v>
      </c>
      <c r="E29" s="64"/>
      <c r="F29" s="65">
        <v>4.5</v>
      </c>
      <c r="G29" s="61"/>
      <c r="H29" s="65">
        <v>16.5</v>
      </c>
      <c r="I29" s="65"/>
      <c r="J29" s="68">
        <v>0</v>
      </c>
      <c r="K29" s="65"/>
      <c r="L29" s="65">
        <v>0</v>
      </c>
      <c r="M29" s="65"/>
      <c r="N29" s="65">
        <v>16.5</v>
      </c>
      <c r="O29" s="65"/>
    </row>
    <row r="30" spans="1:15" ht="12" customHeight="1">
      <c r="A30" s="61" t="s">
        <v>79</v>
      </c>
      <c r="B30" s="67">
        <v>3</v>
      </c>
      <c r="C30" s="69"/>
      <c r="D30" s="65">
        <v>90</v>
      </c>
      <c r="E30" s="64"/>
      <c r="F30" s="68">
        <v>0</v>
      </c>
      <c r="G30" s="61"/>
      <c r="H30" s="65">
        <v>90</v>
      </c>
      <c r="I30" s="65"/>
      <c r="J30" s="68">
        <v>0</v>
      </c>
      <c r="K30" s="65"/>
      <c r="L30" s="65">
        <v>0</v>
      </c>
      <c r="M30" s="65"/>
      <c r="N30" s="65">
        <v>90</v>
      </c>
      <c r="O30" s="65"/>
    </row>
    <row r="31" spans="1:15" ht="12" customHeight="1">
      <c r="A31" s="77" t="s">
        <v>80</v>
      </c>
      <c r="B31" s="67">
        <v>5</v>
      </c>
      <c r="C31" s="69"/>
      <c r="D31" s="65">
        <v>384.30099999999999</v>
      </c>
      <c r="E31" s="64"/>
      <c r="F31" s="65">
        <v>30</v>
      </c>
      <c r="G31" s="61"/>
      <c r="H31" s="65">
        <v>414.30099999999999</v>
      </c>
      <c r="I31" s="65"/>
      <c r="J31" s="68">
        <v>0</v>
      </c>
      <c r="K31" s="65"/>
      <c r="L31" s="65">
        <v>0</v>
      </c>
      <c r="M31" s="65"/>
      <c r="N31" s="65">
        <v>414.30099999999999</v>
      </c>
      <c r="O31" s="65"/>
    </row>
    <row r="32" spans="1:15" ht="12" customHeight="1">
      <c r="A32" s="77" t="s">
        <v>81</v>
      </c>
      <c r="B32" s="67">
        <v>0</v>
      </c>
      <c r="C32" s="69"/>
      <c r="D32" s="68">
        <v>0</v>
      </c>
      <c r="E32" s="64"/>
      <c r="F32" s="68">
        <v>0</v>
      </c>
      <c r="G32" s="61"/>
      <c r="H32" s="65">
        <v>0</v>
      </c>
      <c r="I32" s="65"/>
      <c r="J32" s="68">
        <v>0</v>
      </c>
      <c r="K32" s="65"/>
      <c r="L32" s="65">
        <v>0</v>
      </c>
      <c r="M32" s="65"/>
      <c r="N32" s="65">
        <v>0</v>
      </c>
      <c r="O32" s="65"/>
    </row>
    <row r="33" spans="1:15" ht="12" customHeight="1">
      <c r="A33" s="77" t="s">
        <v>82</v>
      </c>
      <c r="B33" s="67">
        <v>12</v>
      </c>
      <c r="C33" s="69"/>
      <c r="D33" s="65">
        <v>606.02780486999995</v>
      </c>
      <c r="E33" s="64"/>
      <c r="F33" s="65">
        <v>22.75</v>
      </c>
      <c r="G33" s="61"/>
      <c r="H33" s="65">
        <v>628.77780486999995</v>
      </c>
      <c r="I33" s="65"/>
      <c r="J33" s="65">
        <v>123.11</v>
      </c>
      <c r="K33" s="65"/>
      <c r="L33" s="65">
        <v>0</v>
      </c>
      <c r="M33" s="65"/>
      <c r="N33" s="65">
        <v>751.88780486999997</v>
      </c>
      <c r="O33" s="65"/>
    </row>
    <row r="34" spans="1:15" ht="12" customHeight="1">
      <c r="A34" s="77" t="s">
        <v>83</v>
      </c>
      <c r="B34" s="67">
        <v>1</v>
      </c>
      <c r="C34" s="69"/>
      <c r="D34" s="65">
        <v>18</v>
      </c>
      <c r="E34" s="64"/>
      <c r="F34" s="68">
        <v>0</v>
      </c>
      <c r="G34" s="61"/>
      <c r="H34" s="65">
        <v>18</v>
      </c>
      <c r="I34" s="65"/>
      <c r="J34" s="68">
        <v>0</v>
      </c>
      <c r="K34" s="65"/>
      <c r="L34" s="65">
        <v>0</v>
      </c>
      <c r="M34" s="65"/>
      <c r="N34" s="65">
        <v>18</v>
      </c>
      <c r="O34" s="65"/>
    </row>
    <row r="35" spans="1:15" ht="12" customHeight="1">
      <c r="A35" s="77" t="s">
        <v>84</v>
      </c>
      <c r="B35" s="67">
        <v>6</v>
      </c>
      <c r="C35" s="69"/>
      <c r="D35" s="65">
        <v>435.55</v>
      </c>
      <c r="E35" s="64"/>
      <c r="F35" s="65">
        <v>25</v>
      </c>
      <c r="G35" s="61"/>
      <c r="H35" s="65">
        <f>SUM(D35:F35)</f>
        <v>460.55</v>
      </c>
      <c r="I35" s="65"/>
      <c r="J35" s="65">
        <v>168.15086432999999</v>
      </c>
      <c r="K35" s="65"/>
      <c r="L35" s="65">
        <v>0</v>
      </c>
      <c r="M35" s="65"/>
      <c r="N35" s="65">
        <v>628.70000000000005</v>
      </c>
      <c r="O35" s="65"/>
    </row>
    <row r="36" spans="1:15" ht="12" customHeight="1">
      <c r="A36" s="77" t="s">
        <v>85</v>
      </c>
      <c r="B36" s="67">
        <v>1</v>
      </c>
      <c r="C36" s="69"/>
      <c r="D36" s="65">
        <v>2</v>
      </c>
      <c r="E36" s="64"/>
      <c r="F36" s="68">
        <v>0</v>
      </c>
      <c r="G36" s="61"/>
      <c r="H36" s="65">
        <v>2</v>
      </c>
      <c r="I36" s="65"/>
      <c r="J36" s="68">
        <v>0</v>
      </c>
      <c r="K36" s="65"/>
      <c r="L36" s="65">
        <v>0</v>
      </c>
      <c r="M36" s="65"/>
      <c r="N36" s="65">
        <v>2</v>
      </c>
      <c r="O36" s="65"/>
    </row>
    <row r="37" spans="1:15" ht="12" customHeight="1">
      <c r="A37" s="77" t="s">
        <v>86</v>
      </c>
      <c r="B37" s="67">
        <v>9</v>
      </c>
      <c r="C37" s="69"/>
      <c r="D37" s="65">
        <v>226.5</v>
      </c>
      <c r="E37" s="64"/>
      <c r="F37" s="68">
        <v>0</v>
      </c>
      <c r="G37" s="61"/>
      <c r="H37" s="65">
        <v>226.5</v>
      </c>
      <c r="I37" s="65"/>
      <c r="J37" s="68">
        <v>0</v>
      </c>
      <c r="K37" s="65"/>
      <c r="L37" s="65">
        <v>0</v>
      </c>
      <c r="M37" s="65"/>
      <c r="N37" s="65">
        <v>226.5</v>
      </c>
      <c r="O37" s="65"/>
    </row>
    <row r="38" spans="1:15" ht="12" customHeight="1">
      <c r="A38" s="77" t="s">
        <v>87</v>
      </c>
      <c r="B38" s="67">
        <v>0</v>
      </c>
      <c r="C38" s="69"/>
      <c r="D38" s="68">
        <v>0</v>
      </c>
      <c r="E38" s="47"/>
      <c r="F38" s="68">
        <v>0</v>
      </c>
      <c r="G38" s="61"/>
      <c r="H38" s="65">
        <v>0</v>
      </c>
      <c r="I38" s="65"/>
      <c r="J38" s="68">
        <v>0</v>
      </c>
      <c r="K38" s="65"/>
      <c r="L38" s="65">
        <v>0</v>
      </c>
      <c r="M38" s="65"/>
      <c r="N38" s="65">
        <v>0</v>
      </c>
      <c r="O38" s="65"/>
    </row>
    <row r="39" spans="1:15" ht="12" customHeight="1">
      <c r="A39" s="77" t="s">
        <v>88</v>
      </c>
      <c r="B39" s="67">
        <v>12</v>
      </c>
      <c r="C39" s="63"/>
      <c r="D39" s="79">
        <v>1100.99615232374</v>
      </c>
      <c r="E39" s="70"/>
      <c r="F39" s="79">
        <v>65.879510799999991</v>
      </c>
      <c r="G39" s="70"/>
      <c r="H39" s="65">
        <v>1166.87566312374</v>
      </c>
      <c r="I39" s="65"/>
      <c r="J39" s="68">
        <v>0</v>
      </c>
      <c r="K39" s="64"/>
      <c r="L39" s="65">
        <v>0</v>
      </c>
      <c r="M39" s="64"/>
      <c r="N39" s="65">
        <v>1166.87566312374</v>
      </c>
      <c r="O39" s="65"/>
    </row>
    <row r="40" spans="1:15" ht="12" customHeight="1">
      <c r="A40" s="77" t="s">
        <v>89</v>
      </c>
      <c r="B40" s="67">
        <v>3</v>
      </c>
      <c r="C40" s="63"/>
      <c r="D40" s="79">
        <v>225</v>
      </c>
      <c r="E40" s="70"/>
      <c r="F40" s="79">
        <v>5.8897455000000001</v>
      </c>
      <c r="G40" s="70"/>
      <c r="H40" s="65">
        <v>230.8897455</v>
      </c>
      <c r="I40" s="65"/>
      <c r="J40" s="68">
        <v>0</v>
      </c>
      <c r="K40" s="64"/>
      <c r="L40" s="65">
        <v>217.95</v>
      </c>
      <c r="M40" s="64"/>
      <c r="N40" s="65">
        <v>448.84001076000004</v>
      </c>
      <c r="O40" s="65"/>
    </row>
    <row r="41" spans="1:15" ht="12" customHeight="1">
      <c r="A41" s="78" t="s">
        <v>90</v>
      </c>
      <c r="B41" s="67">
        <v>3</v>
      </c>
      <c r="C41" s="63"/>
      <c r="D41" s="79">
        <v>325</v>
      </c>
      <c r="E41" s="70"/>
      <c r="F41" s="68">
        <v>0</v>
      </c>
      <c r="G41" s="70"/>
      <c r="H41" s="65">
        <v>325</v>
      </c>
      <c r="I41" s="65"/>
      <c r="J41" s="68">
        <v>0</v>
      </c>
      <c r="K41" s="64"/>
      <c r="L41" s="65">
        <v>0</v>
      </c>
      <c r="M41" s="64"/>
      <c r="N41" s="65">
        <v>325</v>
      </c>
      <c r="O41" s="65"/>
    </row>
    <row r="42" spans="1:15" ht="12" customHeight="1">
      <c r="A42" s="77" t="s">
        <v>91</v>
      </c>
      <c r="B42" s="67">
        <v>33</v>
      </c>
      <c r="C42" s="63"/>
      <c r="D42" s="79">
        <v>406</v>
      </c>
      <c r="E42" s="70"/>
      <c r="F42" s="79">
        <v>1136.7610526899998</v>
      </c>
      <c r="G42" s="70"/>
      <c r="H42" s="65">
        <v>1542.7610526899998</v>
      </c>
      <c r="I42" s="65"/>
      <c r="J42" s="68">
        <v>0</v>
      </c>
      <c r="K42" s="64"/>
      <c r="L42" s="65">
        <v>0</v>
      </c>
      <c r="M42" s="64"/>
      <c r="N42" s="65">
        <v>1542.7610526899998</v>
      </c>
      <c r="O42" s="65"/>
    </row>
    <row r="43" spans="1:15" ht="3.75" customHeight="1">
      <c r="A43" s="66"/>
      <c r="B43" s="67"/>
      <c r="C43" s="63"/>
      <c r="D43" s="64"/>
      <c r="E43" s="64"/>
      <c r="F43" s="64"/>
      <c r="G43" s="64"/>
      <c r="H43" s="64"/>
      <c r="I43" s="64"/>
      <c r="J43" s="64"/>
      <c r="K43" s="64"/>
      <c r="L43" s="64"/>
      <c r="M43" s="64"/>
      <c r="N43" s="65"/>
      <c r="O43" s="65"/>
    </row>
    <row r="44" spans="1:15" ht="14.25" customHeight="1">
      <c r="A44" s="71" t="s">
        <v>17</v>
      </c>
      <c r="B44" s="72">
        <f>SUM(B14:B42)</f>
        <v>224</v>
      </c>
      <c r="C44" s="73"/>
      <c r="D44" s="74">
        <f>SUM(D14:D42)</f>
        <v>14950.898131919979</v>
      </c>
      <c r="E44" s="74"/>
      <c r="F44" s="74">
        <f>SUM(F14:F43)</f>
        <v>1985.4285115299999</v>
      </c>
      <c r="G44" s="74"/>
      <c r="H44" s="75">
        <f>SUM(H14:H43)</f>
        <v>16936.326643449978</v>
      </c>
      <c r="I44" s="74"/>
      <c r="J44" s="75">
        <f>SUM(J14:J43)</f>
        <v>409.45662242999998</v>
      </c>
      <c r="K44" s="74"/>
      <c r="L44" s="76">
        <f>SUM(L14:L43)</f>
        <v>217.95</v>
      </c>
      <c r="M44" s="74"/>
      <c r="N44" s="75">
        <f>SUM(N14:N43)</f>
        <v>17563.732666809978</v>
      </c>
      <c r="O44" s="75"/>
    </row>
    <row r="45" spans="1:15" ht="11.25" customHeight="1">
      <c r="A45" s="53" t="s">
        <v>62</v>
      </c>
      <c r="B45" s="54"/>
      <c r="C45" s="55"/>
      <c r="D45" s="56"/>
      <c r="E45" s="56"/>
      <c r="F45" s="56"/>
      <c r="G45" s="56"/>
      <c r="H45" s="56"/>
      <c r="I45" s="56"/>
      <c r="J45" s="56"/>
      <c r="K45" s="56"/>
      <c r="L45" s="56"/>
      <c r="M45" s="56"/>
      <c r="N45" s="57"/>
      <c r="O45" s="57"/>
    </row>
    <row r="46" spans="1:15" ht="11">
      <c r="A46" s="80" t="s">
        <v>92</v>
      </c>
      <c r="B46" s="80"/>
      <c r="C46" s="80"/>
      <c r="D46" s="80"/>
      <c r="E46" s="80"/>
      <c r="F46" s="80"/>
      <c r="G46" s="80"/>
      <c r="H46" s="80"/>
      <c r="I46" s="80"/>
      <c r="J46" s="80"/>
      <c r="K46" s="80"/>
      <c r="L46" s="80"/>
      <c r="M46" s="80"/>
      <c r="N46" s="80"/>
      <c r="O46" s="80"/>
    </row>
  </sheetData>
  <mergeCells count="14">
    <mergeCell ref="A46:O46"/>
    <mergeCell ref="L11:M11"/>
    <mergeCell ref="L12:M12"/>
    <mergeCell ref="N11:O11"/>
    <mergeCell ref="N12:O12"/>
    <mergeCell ref="D12:E12"/>
    <mergeCell ref="B11:C11"/>
    <mergeCell ref="B12:C12"/>
    <mergeCell ref="F11:G11"/>
    <mergeCell ref="F12:G12"/>
    <mergeCell ref="H11:I11"/>
    <mergeCell ref="H12:I12"/>
    <mergeCell ref="J11:K11"/>
    <mergeCell ref="J12:K12"/>
  </mergeCells>
  <phoneticPr fontId="0" type="noConversion"/>
  <printOptions horizontalCentered="1"/>
  <pageMargins left="0.5" right="0.5" top="0.5" bottom="0.5" header="0.51" footer="0.5"/>
  <pageSetup scale="84" orientation="portrait" horizontalDpi="300" verticalDpi="300" r:id="rId1"/>
  <drawing r:id="rId2"/>
  <extLst>
    <ext xmlns:mx="http://schemas.microsoft.com/office/mac/excel/2008/main" uri="{64002731-A6B0-56B0-2670-7721B7C09600}">
      <mx:PLV Mode="1" OnePage="0" WScale="84"/>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0"/>
  <sheetViews>
    <sheetView topLeftCell="A30" workbookViewId="0">
      <selection activeCell="N48" sqref="N48"/>
    </sheetView>
  </sheetViews>
  <sheetFormatPr baseColWidth="10" defaultColWidth="9.1640625" defaultRowHeight="11.25" customHeight="1"/>
  <cols>
    <col min="1" max="1" width="7.5" style="1" customWidth="1"/>
    <col min="2" max="2" width="8.33203125" style="7" hidden="1" customWidth="1"/>
    <col min="3" max="3" width="1.33203125" style="7" hidden="1" customWidth="1"/>
    <col min="4" max="4" width="7.33203125" style="10" bestFit="1" customWidth="1"/>
    <col min="5" max="5" width="2.33203125" style="10" customWidth="1"/>
    <col min="6" max="6" width="9.1640625" style="10"/>
    <col min="7" max="7" width="2.5" style="10" customWidth="1"/>
    <col min="8" max="8" width="7.1640625" style="9" customWidth="1"/>
    <col min="9" max="9" width="11.1640625" style="9" customWidth="1"/>
    <col min="10" max="10" width="7.6640625" style="9" customWidth="1"/>
    <col min="11" max="12" width="9.1640625" style="9" bestFit="1"/>
    <col min="13" max="13" width="6.83203125" style="9" bestFit="1" customWidth="1"/>
    <col min="14" max="14" width="6.83203125" style="9" customWidth="1"/>
    <col min="15" max="15" width="9" style="10" customWidth="1"/>
    <col min="16" max="16" width="9" style="9" bestFit="1" customWidth="1"/>
    <col min="17" max="16384" width="9.1640625" style="1"/>
  </cols>
  <sheetData>
    <row r="1" spans="1:16" ht="11.25" customHeight="1">
      <c r="A1" s="2" t="s">
        <v>26</v>
      </c>
      <c r="B1" s="5"/>
      <c r="C1" s="5"/>
      <c r="D1" s="8"/>
      <c r="E1" s="8"/>
      <c r="F1" s="8"/>
      <c r="G1" s="8"/>
    </row>
    <row r="2" spans="1:16" ht="11.25" customHeight="1">
      <c r="A2" s="2" t="s">
        <v>32</v>
      </c>
      <c r="B2" s="5"/>
      <c r="C2" s="5"/>
      <c r="D2" s="8"/>
      <c r="E2" s="8"/>
      <c r="F2" s="8"/>
      <c r="G2" s="8"/>
    </row>
    <row r="3" spans="1:16" ht="11.25" customHeight="1">
      <c r="A3" s="3" t="s">
        <v>0</v>
      </c>
      <c r="B3" s="6"/>
      <c r="C3" s="6"/>
    </row>
    <row r="5" spans="1:16" ht="11.25" customHeight="1">
      <c r="A5" s="15"/>
      <c r="B5" s="16"/>
      <c r="C5" s="16"/>
      <c r="D5" s="11"/>
      <c r="E5" s="11"/>
      <c r="F5" s="11"/>
      <c r="G5" s="11"/>
      <c r="H5" s="11" t="s">
        <v>1</v>
      </c>
      <c r="I5" s="93" t="s">
        <v>23</v>
      </c>
      <c r="J5" s="93"/>
      <c r="K5" s="11" t="s">
        <v>21</v>
      </c>
      <c r="L5" s="11" t="s">
        <v>14</v>
      </c>
      <c r="M5" s="11" t="s">
        <v>27</v>
      </c>
      <c r="N5" s="11"/>
      <c r="O5" s="17" t="s">
        <v>1</v>
      </c>
      <c r="P5" s="11" t="s">
        <v>11</v>
      </c>
    </row>
    <row r="6" spans="1:16" ht="11.25" customHeight="1">
      <c r="A6" s="18"/>
      <c r="B6" s="19" t="s">
        <v>2</v>
      </c>
      <c r="C6" s="19"/>
      <c r="D6" s="12"/>
      <c r="E6" s="12"/>
      <c r="F6" s="20" t="s">
        <v>3</v>
      </c>
      <c r="G6" s="20"/>
      <c r="H6" s="21" t="s">
        <v>9</v>
      </c>
      <c r="I6" s="92" t="s">
        <v>24</v>
      </c>
      <c r="J6" s="92"/>
      <c r="K6" s="12" t="s">
        <v>22</v>
      </c>
      <c r="L6" s="12" t="s">
        <v>15</v>
      </c>
      <c r="M6" s="20" t="s">
        <v>28</v>
      </c>
      <c r="N6" s="20"/>
      <c r="O6" s="22" t="s">
        <v>9</v>
      </c>
      <c r="P6" s="12" t="s">
        <v>12</v>
      </c>
    </row>
    <row r="7" spans="1:16" ht="11.25" customHeight="1">
      <c r="A7" s="23" t="s">
        <v>4</v>
      </c>
      <c r="B7" s="24" t="s">
        <v>18</v>
      </c>
      <c r="C7" s="24"/>
      <c r="D7" s="13" t="s">
        <v>5</v>
      </c>
      <c r="E7" s="13"/>
      <c r="F7" s="25" t="s">
        <v>19</v>
      </c>
      <c r="G7" s="25"/>
      <c r="H7" s="13" t="s">
        <v>6</v>
      </c>
      <c r="I7" s="26" t="s">
        <v>25</v>
      </c>
      <c r="J7" s="26"/>
      <c r="K7" s="13" t="s">
        <v>16</v>
      </c>
      <c r="L7" s="13" t="s">
        <v>16</v>
      </c>
      <c r="M7" s="26" t="s">
        <v>29</v>
      </c>
      <c r="N7" s="26"/>
      <c r="O7" s="27" t="s">
        <v>20</v>
      </c>
      <c r="P7" s="13" t="s">
        <v>13</v>
      </c>
    </row>
    <row r="8" spans="1:16" ht="11.25" customHeight="1">
      <c r="D8" s="9"/>
      <c r="E8" s="9"/>
      <c r="F8" s="9"/>
      <c r="G8" s="9"/>
    </row>
    <row r="9" spans="1:16" ht="11.25" hidden="1" customHeight="1">
      <c r="A9" s="4">
        <v>1983</v>
      </c>
      <c r="B9" s="7">
        <v>2</v>
      </c>
      <c r="D9" s="30">
        <v>0</v>
      </c>
      <c r="E9" s="9"/>
      <c r="F9" s="9">
        <v>2.96</v>
      </c>
      <c r="G9" s="9"/>
      <c r="H9" s="30">
        <f t="shared" ref="H9:H31" si="0">D9+F9</f>
        <v>2.96</v>
      </c>
      <c r="I9" s="30">
        <v>0</v>
      </c>
      <c r="K9" s="30">
        <v>0</v>
      </c>
      <c r="L9" s="30">
        <v>0</v>
      </c>
      <c r="M9" s="30">
        <v>0</v>
      </c>
      <c r="N9" s="30"/>
      <c r="O9" s="9">
        <f t="shared" ref="O9:O31" si="1">H9+I9+L9+K9+M9</f>
        <v>2.96</v>
      </c>
      <c r="P9" s="9">
        <v>36</v>
      </c>
    </row>
    <row r="10" spans="1:16" ht="11.25" hidden="1" customHeight="1">
      <c r="A10" s="4">
        <v>1984</v>
      </c>
      <c r="B10" s="7">
        <v>1</v>
      </c>
      <c r="D10" s="30">
        <v>0</v>
      </c>
      <c r="E10" s="9"/>
      <c r="F10" s="9">
        <v>0.42</v>
      </c>
      <c r="G10" s="9"/>
      <c r="H10" s="30">
        <f t="shared" si="0"/>
        <v>0.42</v>
      </c>
      <c r="I10" s="30">
        <v>0</v>
      </c>
      <c r="K10" s="30">
        <v>0</v>
      </c>
      <c r="L10" s="30">
        <v>0</v>
      </c>
      <c r="M10" s="30">
        <v>0</v>
      </c>
      <c r="N10" s="30"/>
      <c r="O10" s="9">
        <f t="shared" si="1"/>
        <v>0.42</v>
      </c>
      <c r="P10" s="9">
        <v>2.8</v>
      </c>
    </row>
    <row r="11" spans="1:16" ht="11.25" hidden="1" customHeight="1">
      <c r="A11" s="4">
        <v>1985</v>
      </c>
      <c r="B11" s="7">
        <v>5</v>
      </c>
      <c r="D11" s="30">
        <v>0</v>
      </c>
      <c r="E11" s="9"/>
      <c r="F11" s="9">
        <v>3.4</v>
      </c>
      <c r="G11" s="9"/>
      <c r="H11" s="30">
        <f t="shared" si="0"/>
        <v>3.4</v>
      </c>
      <c r="I11" s="30">
        <v>0</v>
      </c>
      <c r="K11" s="30">
        <v>0</v>
      </c>
      <c r="L11" s="30">
        <v>0</v>
      </c>
      <c r="M11" s="30">
        <v>0</v>
      </c>
      <c r="N11" s="30"/>
      <c r="O11" s="9">
        <f t="shared" si="1"/>
        <v>3.4</v>
      </c>
      <c r="P11" s="9">
        <v>39.68</v>
      </c>
    </row>
    <row r="12" spans="1:16" ht="11.25" hidden="1" customHeight="1">
      <c r="A12" s="4">
        <v>1986</v>
      </c>
      <c r="B12" s="7">
        <v>5</v>
      </c>
      <c r="D12" s="30">
        <v>6.46</v>
      </c>
      <c r="E12" s="9"/>
      <c r="F12" s="9">
        <v>6.0129999999999999</v>
      </c>
      <c r="G12" s="9"/>
      <c r="H12" s="30">
        <f t="shared" si="0"/>
        <v>12.472999999999999</v>
      </c>
      <c r="I12" s="30">
        <v>0</v>
      </c>
      <c r="K12" s="30">
        <v>0</v>
      </c>
      <c r="L12" s="30">
        <v>0</v>
      </c>
      <c r="M12" s="30">
        <v>0</v>
      </c>
      <c r="N12" s="30"/>
      <c r="O12" s="9">
        <f t="shared" si="1"/>
        <v>12.472999999999999</v>
      </c>
      <c r="P12" s="9">
        <v>42.716999999999999</v>
      </c>
    </row>
    <row r="13" spans="1:16" ht="11.25" hidden="1" customHeight="1">
      <c r="A13" s="4">
        <v>1987</v>
      </c>
      <c r="B13" s="7">
        <v>8</v>
      </c>
      <c r="D13" s="30">
        <f>18+2.5</f>
        <v>20.5</v>
      </c>
      <c r="E13" s="9"/>
      <c r="F13" s="9">
        <f>7+15.605+5</f>
        <v>27.605</v>
      </c>
      <c r="G13" s="9"/>
      <c r="H13" s="30">
        <f t="shared" si="0"/>
        <v>48.105000000000004</v>
      </c>
      <c r="I13" s="30">
        <v>5</v>
      </c>
      <c r="K13" s="30">
        <v>0</v>
      </c>
      <c r="L13" s="30">
        <v>0</v>
      </c>
      <c r="M13" s="30">
        <v>0</v>
      </c>
      <c r="N13" s="30"/>
      <c r="O13" s="9">
        <f t="shared" si="1"/>
        <v>53.105000000000004</v>
      </c>
      <c r="P13" s="9">
        <v>524.34</v>
      </c>
    </row>
    <row r="14" spans="1:16" ht="11.25" hidden="1" customHeight="1">
      <c r="A14" s="4">
        <v>1988</v>
      </c>
      <c r="B14" s="7">
        <v>12</v>
      </c>
      <c r="D14" s="30">
        <v>58</v>
      </c>
      <c r="E14" s="9"/>
      <c r="F14" s="9">
        <f>8+7.67+20</f>
        <v>35.67</v>
      </c>
      <c r="G14" s="9"/>
      <c r="H14" s="30">
        <f t="shared" si="0"/>
        <v>93.67</v>
      </c>
      <c r="I14" s="30">
        <v>0</v>
      </c>
      <c r="K14" s="30">
        <v>0</v>
      </c>
      <c r="L14" s="30">
        <v>0</v>
      </c>
      <c r="M14" s="30">
        <v>0</v>
      </c>
      <c r="N14" s="30"/>
      <c r="O14" s="9">
        <f t="shared" si="1"/>
        <v>93.67</v>
      </c>
      <c r="P14" s="9">
        <v>524.24</v>
      </c>
    </row>
    <row r="15" spans="1:16" ht="11.25" hidden="1" customHeight="1">
      <c r="A15" s="4">
        <v>1989</v>
      </c>
      <c r="B15" s="7">
        <v>16</v>
      </c>
      <c r="D15" s="30">
        <f>89.7+6</f>
        <v>95.7</v>
      </c>
      <c r="E15" s="9"/>
      <c r="F15" s="9">
        <f>2+54.39+11.2</f>
        <v>67.59</v>
      </c>
      <c r="G15" s="9"/>
      <c r="H15" s="30">
        <f t="shared" si="0"/>
        <v>163.29000000000002</v>
      </c>
      <c r="I15" s="30">
        <v>51.1</v>
      </c>
      <c r="K15" s="30">
        <v>0</v>
      </c>
      <c r="L15" s="30">
        <v>0</v>
      </c>
      <c r="M15" s="30">
        <v>0</v>
      </c>
      <c r="N15" s="30"/>
      <c r="O15" s="9">
        <f t="shared" si="1"/>
        <v>214.39000000000001</v>
      </c>
      <c r="P15" s="9">
        <v>1178.55</v>
      </c>
    </row>
    <row r="16" spans="1:16" ht="11.25" hidden="1" customHeight="1">
      <c r="A16" s="4">
        <v>1990</v>
      </c>
      <c r="B16" s="7">
        <v>17</v>
      </c>
      <c r="D16" s="30">
        <f>72.85+6</f>
        <v>78.849999999999994</v>
      </c>
      <c r="E16" s="9"/>
      <c r="F16" s="9">
        <f>8+23.623+4.32</f>
        <v>35.942999999999998</v>
      </c>
      <c r="G16" s="9"/>
      <c r="H16" s="30">
        <f t="shared" si="0"/>
        <v>114.79299999999999</v>
      </c>
      <c r="I16" s="30">
        <v>24</v>
      </c>
      <c r="K16" s="30">
        <v>0</v>
      </c>
      <c r="L16" s="30">
        <v>0</v>
      </c>
      <c r="M16" s="30">
        <v>0</v>
      </c>
      <c r="N16" s="30"/>
      <c r="O16" s="9">
        <f t="shared" si="1"/>
        <v>138.79300000000001</v>
      </c>
      <c r="P16" s="9">
        <v>2051.63</v>
      </c>
    </row>
    <row r="17" spans="1:16" ht="11.25" hidden="1" customHeight="1">
      <c r="A17" s="4">
        <v>1991</v>
      </c>
      <c r="B17" s="7">
        <v>10</v>
      </c>
      <c r="D17" s="30">
        <f>156.8</f>
        <v>156.80000000000001</v>
      </c>
      <c r="E17" s="9"/>
      <c r="F17" s="9">
        <f>20.518</f>
        <v>20.518000000000001</v>
      </c>
      <c r="G17" s="9"/>
      <c r="H17" s="30">
        <f t="shared" si="0"/>
        <v>177.31800000000001</v>
      </c>
      <c r="I17" s="30">
        <v>0</v>
      </c>
      <c r="K17" s="30">
        <v>0</v>
      </c>
      <c r="L17" s="30">
        <v>0</v>
      </c>
      <c r="M17" s="30">
        <v>0</v>
      </c>
      <c r="N17" s="30"/>
      <c r="O17" s="9">
        <f t="shared" si="1"/>
        <v>177.31800000000001</v>
      </c>
      <c r="P17" s="9">
        <v>1330.07</v>
      </c>
    </row>
    <row r="18" spans="1:16" ht="11.25" hidden="1" customHeight="1">
      <c r="A18" s="4">
        <v>1992</v>
      </c>
      <c r="B18" s="7">
        <v>4</v>
      </c>
      <c r="D18" s="30">
        <v>50</v>
      </c>
      <c r="E18" s="9"/>
      <c r="F18" s="9">
        <v>5.42</v>
      </c>
      <c r="G18" s="9"/>
      <c r="H18" s="30">
        <f t="shared" si="0"/>
        <v>55.42</v>
      </c>
      <c r="I18" s="30">
        <v>81.5</v>
      </c>
      <c r="K18" s="30">
        <v>0</v>
      </c>
      <c r="L18" s="30">
        <v>0</v>
      </c>
      <c r="M18" s="30">
        <v>0</v>
      </c>
      <c r="N18" s="30"/>
      <c r="O18" s="9">
        <f t="shared" si="1"/>
        <v>136.92000000000002</v>
      </c>
      <c r="P18" s="9">
        <v>409.39</v>
      </c>
    </row>
    <row r="19" spans="1:16" ht="11.25" hidden="1" customHeight="1">
      <c r="A19" s="4">
        <v>1993</v>
      </c>
      <c r="B19" s="7">
        <v>9</v>
      </c>
      <c r="D19" s="30">
        <v>182.1</v>
      </c>
      <c r="E19" s="9"/>
      <c r="F19" s="9">
        <v>20.7</v>
      </c>
      <c r="G19" s="9"/>
      <c r="H19" s="30">
        <f t="shared" si="0"/>
        <v>202.79999999999998</v>
      </c>
      <c r="I19" s="30">
        <v>19.3</v>
      </c>
      <c r="K19" s="30">
        <v>0</v>
      </c>
      <c r="L19" s="30">
        <v>0</v>
      </c>
      <c r="M19" s="30">
        <v>0</v>
      </c>
      <c r="N19" s="30"/>
      <c r="O19" s="9">
        <f t="shared" si="1"/>
        <v>222.1</v>
      </c>
      <c r="P19" s="9">
        <v>1513.7</v>
      </c>
    </row>
    <row r="20" spans="1:16" ht="11.25" hidden="1" customHeight="1">
      <c r="A20" s="4">
        <v>1994</v>
      </c>
      <c r="B20" s="7">
        <v>9</v>
      </c>
      <c r="D20" s="30">
        <v>0</v>
      </c>
      <c r="E20" s="9"/>
      <c r="F20" s="9">
        <v>48.7</v>
      </c>
      <c r="G20" s="9"/>
      <c r="H20" s="30">
        <f t="shared" si="0"/>
        <v>48.7</v>
      </c>
      <c r="I20" s="30">
        <v>0</v>
      </c>
      <c r="K20" s="30">
        <v>0</v>
      </c>
      <c r="L20" s="30">
        <v>0</v>
      </c>
      <c r="M20" s="30">
        <v>0</v>
      </c>
      <c r="N20" s="30"/>
      <c r="O20" s="9">
        <f t="shared" si="1"/>
        <v>48.7</v>
      </c>
      <c r="P20" s="9">
        <v>919.2</v>
      </c>
    </row>
    <row r="21" spans="1:16" ht="11.25" hidden="1" customHeight="1">
      <c r="A21" s="4">
        <v>1995</v>
      </c>
      <c r="B21" s="7">
        <v>8</v>
      </c>
      <c r="D21" s="30">
        <f>86.5-18.5</f>
        <v>68</v>
      </c>
      <c r="E21" s="9"/>
      <c r="F21" s="9">
        <v>99.414000000000001</v>
      </c>
      <c r="G21" s="9"/>
      <c r="H21" s="30">
        <f t="shared" si="0"/>
        <v>167.41399999999999</v>
      </c>
      <c r="I21" s="30">
        <v>5.83</v>
      </c>
      <c r="K21" s="30">
        <v>0</v>
      </c>
      <c r="L21" s="30">
        <v>0</v>
      </c>
      <c r="M21" s="30">
        <v>0</v>
      </c>
      <c r="N21" s="30"/>
      <c r="O21" s="9">
        <f t="shared" si="1"/>
        <v>173.244</v>
      </c>
      <c r="P21" s="9">
        <v>1050.3219999999999</v>
      </c>
    </row>
    <row r="22" spans="1:16" ht="11.25" hidden="1" customHeight="1">
      <c r="A22" s="4">
        <v>1996</v>
      </c>
      <c r="B22" s="7">
        <v>8</v>
      </c>
      <c r="D22" s="30">
        <v>98.5</v>
      </c>
      <c r="E22" s="9"/>
      <c r="F22" s="9">
        <v>80.150000000000006</v>
      </c>
      <c r="G22" s="9"/>
      <c r="H22" s="30">
        <f t="shared" si="0"/>
        <v>178.65</v>
      </c>
      <c r="I22" s="30">
        <v>91.5</v>
      </c>
      <c r="K22" s="30">
        <v>0</v>
      </c>
      <c r="L22" s="30">
        <v>0</v>
      </c>
      <c r="M22" s="30">
        <v>0</v>
      </c>
      <c r="N22" s="30"/>
      <c r="O22" s="9">
        <f t="shared" si="1"/>
        <v>270.14999999999998</v>
      </c>
      <c r="P22" s="9">
        <v>1788.77</v>
      </c>
    </row>
    <row r="23" spans="1:16" ht="11.25" hidden="1" customHeight="1">
      <c r="A23" s="4">
        <v>1997</v>
      </c>
      <c r="B23" s="7">
        <f>6-1</f>
        <v>5</v>
      </c>
      <c r="D23" s="30">
        <f>45</f>
        <v>45</v>
      </c>
      <c r="E23" s="9"/>
      <c r="F23" s="9">
        <f>59.5-10</f>
        <v>49.5</v>
      </c>
      <c r="G23" s="9"/>
      <c r="H23" s="30">
        <f t="shared" si="0"/>
        <v>94.5</v>
      </c>
      <c r="I23" s="30">
        <v>0</v>
      </c>
      <c r="K23" s="30">
        <v>50</v>
      </c>
      <c r="L23" s="30">
        <v>0</v>
      </c>
      <c r="M23" s="30">
        <v>0</v>
      </c>
      <c r="N23" s="30"/>
      <c r="O23" s="9">
        <f t="shared" si="1"/>
        <v>144.5</v>
      </c>
      <c r="P23" s="9">
        <v>1239.69</v>
      </c>
    </row>
    <row r="24" spans="1:16" ht="11.25" hidden="1" customHeight="1">
      <c r="A24" s="4">
        <v>1998</v>
      </c>
      <c r="B24" s="7">
        <v>6</v>
      </c>
      <c r="D24" s="30">
        <v>136.12</v>
      </c>
      <c r="E24" s="9"/>
      <c r="F24" s="9">
        <f>62.44-20-3</f>
        <v>39.44</v>
      </c>
      <c r="G24" s="9"/>
      <c r="H24" s="30">
        <f t="shared" si="0"/>
        <v>175.56</v>
      </c>
      <c r="I24" s="30">
        <v>151.077</v>
      </c>
      <c r="K24" s="30">
        <v>65</v>
      </c>
      <c r="L24" s="30">
        <v>0</v>
      </c>
      <c r="M24" s="30">
        <v>0</v>
      </c>
      <c r="N24" s="30"/>
      <c r="O24" s="9">
        <f t="shared" si="1"/>
        <v>391.637</v>
      </c>
      <c r="P24" s="9">
        <v>1152.7</v>
      </c>
    </row>
    <row r="25" spans="1:16" ht="11.25" hidden="1" customHeight="1">
      <c r="A25" s="4">
        <v>1999</v>
      </c>
      <c r="B25" s="7">
        <v>3</v>
      </c>
      <c r="D25" s="30">
        <v>101.5</v>
      </c>
      <c r="E25" s="9"/>
      <c r="F25" s="9">
        <v>7.4</v>
      </c>
      <c r="G25" s="9"/>
      <c r="H25" s="30">
        <f t="shared" si="0"/>
        <v>108.9</v>
      </c>
      <c r="I25" s="30">
        <f>181.5-120</f>
        <v>61.5</v>
      </c>
      <c r="K25" s="30">
        <v>0</v>
      </c>
      <c r="L25" s="30">
        <v>0</v>
      </c>
      <c r="M25" s="30">
        <v>0</v>
      </c>
      <c r="N25" s="30"/>
      <c r="O25" s="9">
        <f t="shared" si="1"/>
        <v>170.4</v>
      </c>
      <c r="P25" s="9">
        <f>1412.5-564.8</f>
        <v>847.7</v>
      </c>
    </row>
    <row r="26" spans="1:16" ht="11.25" hidden="1" customHeight="1">
      <c r="A26" s="4">
        <v>2000</v>
      </c>
      <c r="B26" s="7">
        <v>11</v>
      </c>
      <c r="D26" s="30">
        <v>152</v>
      </c>
      <c r="E26" s="14"/>
      <c r="F26" s="9">
        <v>77.650000000000006</v>
      </c>
      <c r="G26" s="9"/>
      <c r="H26" s="30">
        <f t="shared" si="0"/>
        <v>229.65</v>
      </c>
      <c r="I26" s="30">
        <v>45</v>
      </c>
      <c r="K26" s="30">
        <v>0</v>
      </c>
      <c r="L26" s="30">
        <v>101</v>
      </c>
      <c r="M26" s="30">
        <v>0</v>
      </c>
      <c r="N26" s="30"/>
      <c r="O26" s="9">
        <f t="shared" si="1"/>
        <v>375.65</v>
      </c>
      <c r="P26" s="9">
        <v>1629.84</v>
      </c>
    </row>
    <row r="27" spans="1:16" ht="11.25" customHeight="1">
      <c r="A27" s="4">
        <v>2001</v>
      </c>
      <c r="B27" s="7">
        <v>6</v>
      </c>
      <c r="D27" s="30">
        <v>37.5</v>
      </c>
      <c r="E27" s="9"/>
      <c r="F27" s="9">
        <v>30.36</v>
      </c>
      <c r="G27" s="9"/>
      <c r="H27" s="30">
        <f t="shared" si="0"/>
        <v>67.86</v>
      </c>
      <c r="I27" s="30">
        <v>0</v>
      </c>
      <c r="K27" s="30">
        <v>0</v>
      </c>
      <c r="L27" s="30">
        <v>0</v>
      </c>
      <c r="M27" s="30">
        <v>0</v>
      </c>
      <c r="N27" s="4">
        <v>2001</v>
      </c>
      <c r="O27" s="9">
        <f t="shared" si="1"/>
        <v>67.86</v>
      </c>
      <c r="P27" s="9">
        <v>648</v>
      </c>
    </row>
    <row r="28" spans="1:16" ht="11.25" customHeight="1">
      <c r="A28" s="4">
        <v>2002</v>
      </c>
      <c r="B28" s="7">
        <v>7</v>
      </c>
      <c r="D28" s="30">
        <v>110</v>
      </c>
      <c r="E28" s="9"/>
      <c r="F28" s="9">
        <v>35.526000000000003</v>
      </c>
      <c r="G28" s="9"/>
      <c r="H28" s="30">
        <f t="shared" si="0"/>
        <v>145.52600000000001</v>
      </c>
      <c r="I28" s="30">
        <v>0</v>
      </c>
      <c r="K28" s="30">
        <v>0</v>
      </c>
      <c r="L28" s="30">
        <v>60</v>
      </c>
      <c r="M28" s="30">
        <v>0</v>
      </c>
      <c r="N28" s="4">
        <v>2002</v>
      </c>
      <c r="O28" s="9">
        <f t="shared" si="1"/>
        <v>205.52600000000001</v>
      </c>
      <c r="P28" s="9">
        <v>1176.5999999999999</v>
      </c>
    </row>
    <row r="29" spans="1:16" ht="11.25" customHeight="1">
      <c r="A29" s="4">
        <v>2003</v>
      </c>
      <c r="B29" s="7">
        <v>7</v>
      </c>
      <c r="D29" s="30">
        <f>187-20</f>
        <v>167</v>
      </c>
      <c r="E29" s="9"/>
      <c r="F29" s="9">
        <f>35+0.65</f>
        <v>35.65</v>
      </c>
      <c r="G29" s="9"/>
      <c r="H29" s="30">
        <f t="shared" si="0"/>
        <v>202.65</v>
      </c>
      <c r="I29" s="30">
        <v>100</v>
      </c>
      <c r="K29" s="30">
        <f>65+105</f>
        <v>170</v>
      </c>
      <c r="L29" s="30">
        <v>70</v>
      </c>
      <c r="M29" s="30">
        <v>0</v>
      </c>
      <c r="N29" s="4">
        <v>2003</v>
      </c>
      <c r="O29" s="9">
        <f t="shared" si="1"/>
        <v>542.65</v>
      </c>
      <c r="P29" s="9">
        <f>2320-20</f>
        <v>2300</v>
      </c>
    </row>
    <row r="30" spans="1:16" ht="11.25" customHeight="1">
      <c r="A30" s="4">
        <v>2004</v>
      </c>
      <c r="B30" s="7">
        <f>16-1</f>
        <v>15</v>
      </c>
      <c r="C30" s="31" t="s">
        <v>30</v>
      </c>
      <c r="D30" s="30">
        <f>313.9+33-54.4</f>
        <v>292.5</v>
      </c>
      <c r="E30" s="9"/>
      <c r="F30" s="9">
        <f>185-20.6</f>
        <v>164.4</v>
      </c>
      <c r="G30" s="9"/>
      <c r="H30" s="30">
        <f t="shared" si="0"/>
        <v>456.9</v>
      </c>
      <c r="I30" s="30">
        <v>0</v>
      </c>
      <c r="K30" s="30">
        <v>0</v>
      </c>
      <c r="L30" s="30">
        <v>10</v>
      </c>
      <c r="M30" s="30">
        <v>200</v>
      </c>
      <c r="N30" s="4">
        <v>2004</v>
      </c>
      <c r="O30" s="9">
        <f t="shared" si="1"/>
        <v>666.9</v>
      </c>
      <c r="P30" s="9">
        <f>2701.7+250-724</f>
        <v>2227.6999999999998</v>
      </c>
    </row>
    <row r="31" spans="1:16" ht="11.25" customHeight="1">
      <c r="A31" s="4">
        <v>2005</v>
      </c>
      <c r="B31" s="7">
        <v>17</v>
      </c>
      <c r="C31" s="31" t="s">
        <v>33</v>
      </c>
      <c r="D31" s="30">
        <f>536+0.017</f>
        <v>536.01700000000005</v>
      </c>
      <c r="E31" s="9"/>
      <c r="F31" s="9">
        <v>217.1</v>
      </c>
      <c r="G31" s="1"/>
      <c r="H31" s="30">
        <f t="shared" si="0"/>
        <v>753.11700000000008</v>
      </c>
      <c r="I31" s="30">
        <v>0</v>
      </c>
      <c r="K31" s="30">
        <v>18.399999999999999</v>
      </c>
      <c r="L31" s="30">
        <v>50</v>
      </c>
      <c r="M31" s="30">
        <v>0</v>
      </c>
      <c r="N31" s="4">
        <v>2005</v>
      </c>
      <c r="O31" s="9">
        <f t="shared" si="1"/>
        <v>821.51700000000005</v>
      </c>
      <c r="P31" s="9">
        <v>8941.6200000000008</v>
      </c>
    </row>
    <row r="32" spans="1:16" ht="11.25" customHeight="1">
      <c r="A32" s="4"/>
      <c r="D32" s="9"/>
      <c r="E32" s="9"/>
      <c r="F32" s="9"/>
      <c r="G32" s="9"/>
      <c r="O32" s="9"/>
    </row>
    <row r="33" spans="1:16" ht="11.25" customHeight="1">
      <c r="A33" s="28" t="s">
        <v>17</v>
      </c>
      <c r="B33" s="32">
        <f>SUM(B9:B31)</f>
        <v>191</v>
      </c>
      <c r="C33" s="32"/>
      <c r="D33" s="29">
        <f>SUM(D9:D31)</f>
        <v>2392.547</v>
      </c>
      <c r="E33" s="29"/>
      <c r="F33" s="29">
        <f>SUM(F9:F31)</f>
        <v>1111.5289999999998</v>
      </c>
      <c r="G33" s="29"/>
      <c r="H33" s="29">
        <f>SUM(H9:H31)</f>
        <v>3504.0760000000005</v>
      </c>
      <c r="I33" s="29">
        <f>SUM(I9:I31)</f>
        <v>635.80700000000002</v>
      </c>
      <c r="J33" s="29"/>
      <c r="K33" s="29">
        <f>SUM(K9:K31)</f>
        <v>303.39999999999998</v>
      </c>
      <c r="L33" s="29">
        <f>SUM(L9:L31)</f>
        <v>291</v>
      </c>
      <c r="M33" s="29">
        <f>SUM(M9:M31)</f>
        <v>200</v>
      </c>
      <c r="N33" s="29"/>
      <c r="O33" s="29">
        <f>SUM(O9:O31)</f>
        <v>4934.2830000000004</v>
      </c>
      <c r="P33" s="29">
        <f>SUM(P9:P32)</f>
        <v>31575.259000000005</v>
      </c>
    </row>
    <row r="34" spans="1:16" ht="11.25" hidden="1" customHeight="1">
      <c r="A34" s="3" t="s">
        <v>10</v>
      </c>
      <c r="B34" s="33"/>
      <c r="C34" s="33"/>
      <c r="D34" s="9"/>
      <c r="E34" s="9"/>
      <c r="F34" s="9"/>
      <c r="G34" s="9"/>
      <c r="O34" s="9"/>
    </row>
    <row r="35" spans="1:16" ht="11.25" hidden="1" customHeight="1">
      <c r="A35" s="1" t="s">
        <v>7</v>
      </c>
    </row>
    <row r="36" spans="1:16" ht="11.25" hidden="1" customHeight="1">
      <c r="A36" s="1" t="s">
        <v>8</v>
      </c>
    </row>
    <row r="37" spans="1:16" ht="11.25" hidden="1" customHeight="1">
      <c r="A37" s="1" t="s">
        <v>31</v>
      </c>
    </row>
    <row r="38" spans="1:16" ht="11.25" hidden="1" customHeight="1">
      <c r="A38" s="1" t="s">
        <v>34</v>
      </c>
    </row>
    <row r="39" spans="1:16" ht="11.25" hidden="1" customHeight="1"/>
    <row r="40" spans="1:16" ht="11.25" hidden="1" customHeight="1"/>
  </sheetData>
  <mergeCells count="2">
    <mergeCell ref="I6:J6"/>
    <mergeCell ref="I5:J5"/>
  </mergeCells>
  <phoneticPr fontId="0" type="noConversion"/>
  <printOptions horizontalCentered="1"/>
  <pageMargins left="0.5" right="0.5" top="1.33858267716535" bottom="0.94488188976377996" header="0.511811023622047" footer="0.5"/>
  <pageSetup scale="90" orientation="portrait" horizontalDpi="300" verticalDpi="300"/>
  <headerFooter>
    <oddFooter>&amp;L&amp;8T11-1205.xls_x000D_</oddFooter>
  </headerFooter>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0"/>
  <sheetViews>
    <sheetView workbookViewId="0">
      <pane xSplit="3" ySplit="7" topLeftCell="D14" activePane="bottomRight" state="frozen"/>
      <selection pane="topRight" activeCell="D1" sqref="D1"/>
      <selection pane="bottomLeft" activeCell="A8" sqref="A8"/>
      <selection pane="bottomRight" activeCell="D104" sqref="D104"/>
    </sheetView>
  </sheetViews>
  <sheetFormatPr baseColWidth="10" defaultColWidth="9.1640625" defaultRowHeight="11.25" customHeight="1"/>
  <cols>
    <col min="1" max="1" width="7.5" style="1" customWidth="1"/>
    <col min="2" max="2" width="8.33203125" style="7" customWidth="1"/>
    <col min="3" max="3" width="1.33203125" style="7" bestFit="1" customWidth="1"/>
    <col min="4" max="4" width="8.1640625" style="10" bestFit="1" customWidth="1"/>
    <col min="5" max="5" width="2.33203125" style="10" customWidth="1"/>
    <col min="6" max="6" width="9.1640625" style="10"/>
    <col min="7" max="7" width="2.5" style="10" customWidth="1"/>
    <col min="8" max="8" width="7.83203125" style="9" customWidth="1"/>
    <col min="9" max="9" width="11.1640625" style="9" customWidth="1"/>
    <col min="10" max="10" width="7.6640625" style="9" customWidth="1"/>
    <col min="11" max="11" width="9.1640625" style="9"/>
    <col min="12" max="12" width="2.1640625" style="9" customWidth="1"/>
    <col min="13" max="13" width="9.1640625" style="9"/>
    <col min="14" max="15" width="8.1640625" style="30" customWidth="1"/>
    <col min="16" max="16" width="6.83203125" style="30" customWidth="1"/>
    <col min="17" max="17" width="9.5" style="10" customWidth="1"/>
    <col min="18" max="16384" width="9.1640625" style="1"/>
  </cols>
  <sheetData>
    <row r="1" spans="1:18" ht="9" customHeight="1">
      <c r="A1" s="34" t="s">
        <v>56</v>
      </c>
      <c r="B1" s="5"/>
      <c r="C1" s="5"/>
      <c r="D1" s="8"/>
      <c r="E1" s="8"/>
      <c r="F1" s="8"/>
      <c r="G1" s="8"/>
    </row>
    <row r="2" spans="1:18" ht="14.25" customHeight="1">
      <c r="A2" s="34" t="s">
        <v>48</v>
      </c>
      <c r="B2" s="5"/>
      <c r="C2" s="5"/>
      <c r="D2" s="8"/>
      <c r="E2" s="8"/>
      <c r="F2" s="8"/>
      <c r="G2" s="8"/>
    </row>
    <row r="3" spans="1:18" ht="11.25" customHeight="1">
      <c r="A3" s="3" t="s">
        <v>0</v>
      </c>
      <c r="B3" s="6"/>
      <c r="C3" s="6"/>
    </row>
    <row r="5" spans="1:18" ht="11.25" customHeight="1">
      <c r="A5" s="15"/>
      <c r="B5" s="16"/>
      <c r="C5" s="16"/>
      <c r="D5" s="11"/>
      <c r="E5" s="11"/>
      <c r="F5" s="11"/>
      <c r="G5" s="11"/>
      <c r="H5" s="11" t="s">
        <v>1</v>
      </c>
      <c r="I5" s="93"/>
      <c r="J5" s="93"/>
      <c r="K5" s="11" t="s">
        <v>21</v>
      </c>
      <c r="L5" s="11"/>
      <c r="M5" s="11" t="s">
        <v>14</v>
      </c>
      <c r="N5" s="35"/>
      <c r="O5" s="35" t="s">
        <v>46</v>
      </c>
      <c r="P5" s="35"/>
      <c r="Q5" s="17" t="s">
        <v>1</v>
      </c>
      <c r="R5" s="36" t="s">
        <v>11</v>
      </c>
    </row>
    <row r="6" spans="1:18" ht="11.25" customHeight="1">
      <c r="A6" s="18"/>
      <c r="B6" s="19" t="s">
        <v>2</v>
      </c>
      <c r="C6" s="19"/>
      <c r="D6" s="12"/>
      <c r="E6" s="12"/>
      <c r="F6" s="20" t="s">
        <v>3</v>
      </c>
      <c r="G6" s="20"/>
      <c r="H6" s="21" t="s">
        <v>9</v>
      </c>
      <c r="I6" s="92"/>
      <c r="J6" s="92"/>
      <c r="K6" s="12" t="s">
        <v>22</v>
      </c>
      <c r="L6" s="12"/>
      <c r="M6" s="12" t="s">
        <v>15</v>
      </c>
      <c r="N6" s="37"/>
      <c r="O6" s="44" t="s">
        <v>47</v>
      </c>
      <c r="P6" s="37"/>
      <c r="Q6" s="22" t="s">
        <v>9</v>
      </c>
      <c r="R6" s="38" t="s">
        <v>12</v>
      </c>
    </row>
    <row r="7" spans="1:18" ht="12.75" customHeight="1">
      <c r="A7" s="23" t="s">
        <v>4</v>
      </c>
      <c r="B7" s="24" t="s">
        <v>36</v>
      </c>
      <c r="C7" s="24"/>
      <c r="D7" s="13" t="s">
        <v>51</v>
      </c>
      <c r="E7" s="13"/>
      <c r="F7" s="25" t="s">
        <v>38</v>
      </c>
      <c r="G7" s="25"/>
      <c r="H7" s="13" t="s">
        <v>6</v>
      </c>
      <c r="I7" s="26" t="s">
        <v>45</v>
      </c>
      <c r="J7" s="26"/>
      <c r="K7" s="13" t="s">
        <v>16</v>
      </c>
      <c r="L7" s="13"/>
      <c r="M7" s="13" t="s">
        <v>16</v>
      </c>
      <c r="N7" s="39" t="s">
        <v>44</v>
      </c>
      <c r="O7" s="39" t="s">
        <v>49</v>
      </c>
      <c r="P7" s="40" t="s">
        <v>43</v>
      </c>
      <c r="Q7" s="27" t="s">
        <v>40</v>
      </c>
      <c r="R7" s="41" t="s">
        <v>13</v>
      </c>
    </row>
    <row r="8" spans="1:18" ht="11.25" customHeight="1">
      <c r="D8" s="9"/>
      <c r="E8" s="9"/>
      <c r="F8" s="9"/>
      <c r="G8" s="9"/>
    </row>
    <row r="9" spans="1:18" ht="11.25" customHeight="1">
      <c r="A9" s="4">
        <v>1983</v>
      </c>
      <c r="B9" s="7">
        <v>2</v>
      </c>
      <c r="D9" s="30">
        <v>0</v>
      </c>
      <c r="E9" s="9"/>
      <c r="F9" s="9">
        <v>2.96</v>
      </c>
      <c r="G9" s="9"/>
      <c r="H9" s="30">
        <f>D9+F9</f>
        <v>2.96</v>
      </c>
      <c r="I9" s="30">
        <v>0</v>
      </c>
      <c r="K9" s="30">
        <v>0</v>
      </c>
      <c r="L9" s="30"/>
      <c r="M9" s="30">
        <v>0</v>
      </c>
      <c r="N9" s="30">
        <v>0</v>
      </c>
      <c r="Q9" s="9">
        <f t="shared" ref="Q9:Q35" si="0">H9+I9+M9+K9+N9</f>
        <v>2.96</v>
      </c>
      <c r="R9" s="9">
        <v>36</v>
      </c>
    </row>
    <row r="10" spans="1:18" ht="11.25" customHeight="1">
      <c r="A10" s="4">
        <v>1984</v>
      </c>
      <c r="B10" s="7">
        <v>1</v>
      </c>
      <c r="D10" s="30">
        <v>0</v>
      </c>
      <c r="E10" s="9"/>
      <c r="F10" s="9">
        <v>0.42</v>
      </c>
      <c r="G10" s="9"/>
      <c r="H10" s="30">
        <f>D10+F10</f>
        <v>0.42</v>
      </c>
      <c r="I10" s="30">
        <v>0</v>
      </c>
      <c r="K10" s="30">
        <v>0</v>
      </c>
      <c r="L10" s="30"/>
      <c r="M10" s="30">
        <v>0</v>
      </c>
      <c r="N10" s="30">
        <v>0</v>
      </c>
      <c r="Q10" s="9">
        <f t="shared" si="0"/>
        <v>0.42</v>
      </c>
      <c r="R10" s="9">
        <v>2.8</v>
      </c>
    </row>
    <row r="11" spans="1:18" ht="11.25" customHeight="1">
      <c r="A11" s="4">
        <v>1985</v>
      </c>
      <c r="B11" s="7">
        <v>3</v>
      </c>
      <c r="D11" s="30">
        <v>0</v>
      </c>
      <c r="E11" s="9"/>
      <c r="F11" s="9">
        <v>3.4</v>
      </c>
      <c r="G11" s="9"/>
      <c r="H11" s="30">
        <f>D11+F11</f>
        <v>3.4</v>
      </c>
      <c r="I11" s="30">
        <v>0</v>
      </c>
      <c r="K11" s="30">
        <v>0</v>
      </c>
      <c r="L11" s="30"/>
      <c r="M11" s="30">
        <v>0</v>
      </c>
      <c r="N11" s="30">
        <v>0</v>
      </c>
      <c r="Q11" s="9">
        <f t="shared" si="0"/>
        <v>3.4</v>
      </c>
      <c r="R11" s="9">
        <v>26.5</v>
      </c>
    </row>
    <row r="12" spans="1:18" ht="11.25" customHeight="1">
      <c r="A12" s="4">
        <v>1986</v>
      </c>
      <c r="B12" s="7">
        <v>4</v>
      </c>
      <c r="D12" s="30">
        <v>6.46</v>
      </c>
      <c r="E12" s="9"/>
      <c r="F12" s="9">
        <v>6.0129999999999999</v>
      </c>
      <c r="G12" s="9"/>
      <c r="H12" s="30">
        <f>D12+F12</f>
        <v>12.472999999999999</v>
      </c>
      <c r="I12" s="30">
        <v>0</v>
      </c>
      <c r="K12" s="30">
        <v>0</v>
      </c>
      <c r="L12" s="30"/>
      <c r="M12" s="30">
        <v>0</v>
      </c>
      <c r="N12" s="30">
        <v>0</v>
      </c>
      <c r="Q12" s="9">
        <f t="shared" si="0"/>
        <v>12.472999999999999</v>
      </c>
      <c r="R12" s="9">
        <v>20.32</v>
      </c>
    </row>
    <row r="13" spans="1:18" ht="11.25" customHeight="1">
      <c r="A13" s="4">
        <v>1987</v>
      </c>
      <c r="B13" s="7">
        <v>7</v>
      </c>
      <c r="D13" s="30">
        <f>18+2.5</f>
        <v>20.5</v>
      </c>
      <c r="E13" s="9"/>
      <c r="F13" s="9">
        <f>7+15.605+5</f>
        <v>27.605</v>
      </c>
      <c r="G13" s="9"/>
      <c r="H13" s="30">
        <f>D13+F13</f>
        <v>48.105000000000004</v>
      </c>
      <c r="I13" s="30">
        <v>5</v>
      </c>
      <c r="K13" s="30">
        <v>0</v>
      </c>
      <c r="L13" s="30"/>
      <c r="M13" s="30">
        <v>0</v>
      </c>
      <c r="N13" s="30">
        <v>0</v>
      </c>
      <c r="Q13" s="9">
        <f t="shared" si="0"/>
        <v>53.105000000000004</v>
      </c>
      <c r="R13" s="9">
        <v>519.24</v>
      </c>
    </row>
    <row r="14" spans="1:18" ht="11.25" customHeight="1">
      <c r="A14" s="4">
        <v>1988</v>
      </c>
      <c r="B14" s="7">
        <v>12</v>
      </c>
      <c r="D14" s="30">
        <v>58</v>
      </c>
      <c r="E14" s="9"/>
      <c r="F14" s="9">
        <f>8+7.67+20</f>
        <v>35.67</v>
      </c>
      <c r="G14" s="9"/>
      <c r="H14" s="30">
        <f t="shared" ref="H14:H35" si="1">D14+F14</f>
        <v>93.67</v>
      </c>
      <c r="I14" s="30">
        <v>0</v>
      </c>
      <c r="K14" s="30">
        <v>0</v>
      </c>
      <c r="L14" s="30"/>
      <c r="M14" s="30">
        <v>0</v>
      </c>
      <c r="N14" s="30">
        <v>0</v>
      </c>
      <c r="Q14" s="9">
        <f t="shared" si="0"/>
        <v>93.67</v>
      </c>
      <c r="R14" s="9">
        <v>502.32</v>
      </c>
    </row>
    <row r="15" spans="1:18" ht="11.25" customHeight="1">
      <c r="A15" s="4">
        <v>1989</v>
      </c>
      <c r="B15" s="7">
        <v>16</v>
      </c>
      <c r="D15" s="30">
        <f>89.7+6</f>
        <v>95.7</v>
      </c>
      <c r="E15" s="9"/>
      <c r="F15" s="9">
        <f>2+54.39+11.2</f>
        <v>67.59</v>
      </c>
      <c r="G15" s="9"/>
      <c r="H15" s="30">
        <f t="shared" si="1"/>
        <v>163.29000000000002</v>
      </c>
      <c r="I15" s="30">
        <v>51.1</v>
      </c>
      <c r="K15" s="30">
        <v>0</v>
      </c>
      <c r="L15" s="30"/>
      <c r="M15" s="30">
        <v>0</v>
      </c>
      <c r="N15" s="30">
        <v>0</v>
      </c>
      <c r="Q15" s="9">
        <f t="shared" si="0"/>
        <v>214.39000000000001</v>
      </c>
      <c r="R15" s="9">
        <v>1038.6600000000001</v>
      </c>
    </row>
    <row r="16" spans="1:18" ht="11.25" customHeight="1">
      <c r="A16" s="4">
        <v>1990</v>
      </c>
      <c r="B16" s="7">
        <v>17</v>
      </c>
      <c r="D16" s="30">
        <f>72.85+6</f>
        <v>78.849999999999994</v>
      </c>
      <c r="E16" s="9"/>
      <c r="F16" s="9">
        <f>8+23.623+4.32</f>
        <v>35.942999999999998</v>
      </c>
      <c r="G16" s="9"/>
      <c r="H16" s="30">
        <f t="shared" si="1"/>
        <v>114.79299999999999</v>
      </c>
      <c r="I16" s="30">
        <v>24</v>
      </c>
      <c r="K16" s="30">
        <v>0</v>
      </c>
      <c r="L16" s="30"/>
      <c r="M16" s="30">
        <v>0</v>
      </c>
      <c r="N16" s="30">
        <v>0</v>
      </c>
      <c r="Q16" s="9">
        <f t="shared" si="0"/>
        <v>138.79300000000001</v>
      </c>
      <c r="R16" s="9">
        <v>2026.13</v>
      </c>
    </row>
    <row r="17" spans="1:19" ht="11.25" customHeight="1">
      <c r="A17" s="4">
        <v>1991</v>
      </c>
      <c r="B17" s="7">
        <v>10</v>
      </c>
      <c r="D17" s="30">
        <f>156.8</f>
        <v>156.80000000000001</v>
      </c>
      <c r="E17" s="9"/>
      <c r="F17" s="9">
        <f>20.518</f>
        <v>20.518000000000001</v>
      </c>
      <c r="G17" s="9"/>
      <c r="H17" s="30">
        <f t="shared" si="1"/>
        <v>177.31800000000001</v>
      </c>
      <c r="I17" s="30">
        <v>0</v>
      </c>
      <c r="K17" s="30">
        <v>0</v>
      </c>
      <c r="L17" s="30"/>
      <c r="M17" s="30">
        <v>0</v>
      </c>
      <c r="N17" s="30">
        <v>0</v>
      </c>
      <c r="Q17" s="9">
        <f t="shared" si="0"/>
        <v>177.31800000000001</v>
      </c>
      <c r="R17" s="9">
        <v>1325.18</v>
      </c>
    </row>
    <row r="18" spans="1:19" ht="11.25" customHeight="1">
      <c r="A18" s="4">
        <v>1992</v>
      </c>
      <c r="B18" s="7">
        <v>4</v>
      </c>
      <c r="D18" s="30">
        <v>50</v>
      </c>
      <c r="E18" s="9"/>
      <c r="F18" s="9">
        <v>5.42</v>
      </c>
      <c r="G18" s="9"/>
      <c r="H18" s="30">
        <f t="shared" si="1"/>
        <v>55.42</v>
      </c>
      <c r="I18" s="30">
        <v>81.5</v>
      </c>
      <c r="K18" s="30">
        <v>0</v>
      </c>
      <c r="L18" s="30"/>
      <c r="M18" s="30">
        <v>0</v>
      </c>
      <c r="N18" s="30">
        <v>0</v>
      </c>
      <c r="Q18" s="9">
        <f t="shared" si="0"/>
        <v>136.92000000000002</v>
      </c>
      <c r="R18" s="9">
        <v>402.29</v>
      </c>
    </row>
    <row r="19" spans="1:19" ht="11.25" customHeight="1">
      <c r="A19" s="4">
        <v>1993</v>
      </c>
      <c r="B19" s="7">
        <v>8</v>
      </c>
      <c r="D19" s="30">
        <v>182.1</v>
      </c>
      <c r="E19" s="9"/>
      <c r="F19" s="9">
        <v>20.7</v>
      </c>
      <c r="G19" s="9"/>
      <c r="H19" s="30">
        <f t="shared" si="1"/>
        <v>202.79999999999998</v>
      </c>
      <c r="I19" s="30">
        <v>19.3</v>
      </c>
      <c r="K19" s="30">
        <v>0</v>
      </c>
      <c r="L19" s="30"/>
      <c r="M19" s="30">
        <v>0</v>
      </c>
      <c r="N19" s="30">
        <v>0</v>
      </c>
      <c r="Q19" s="9">
        <f t="shared" si="0"/>
        <v>222.1</v>
      </c>
      <c r="R19" s="9">
        <v>1505.7</v>
      </c>
    </row>
    <row r="20" spans="1:19" ht="11.25" customHeight="1">
      <c r="A20" s="4">
        <v>1994</v>
      </c>
      <c r="B20" s="7">
        <v>10</v>
      </c>
      <c r="D20" s="30">
        <v>0</v>
      </c>
      <c r="E20" s="9"/>
      <c r="F20" s="9">
        <v>48.7</v>
      </c>
      <c r="G20" s="9"/>
      <c r="H20" s="30">
        <f t="shared" si="1"/>
        <v>48.7</v>
      </c>
      <c r="I20" s="30">
        <v>0</v>
      </c>
      <c r="K20" s="30">
        <v>0</v>
      </c>
      <c r="L20" s="30"/>
      <c r="M20" s="30">
        <v>0</v>
      </c>
      <c r="N20" s="30">
        <v>0</v>
      </c>
      <c r="Q20" s="9">
        <f t="shared" si="0"/>
        <v>48.7</v>
      </c>
      <c r="R20" s="9">
        <v>919.2</v>
      </c>
    </row>
    <row r="21" spans="1:19" ht="11.25" customHeight="1">
      <c r="A21" s="4">
        <v>1995</v>
      </c>
      <c r="B21" s="7">
        <v>7</v>
      </c>
      <c r="D21" s="30">
        <f>86.5-18.5</f>
        <v>68</v>
      </c>
      <c r="E21" s="9"/>
      <c r="F21" s="9">
        <v>99.414000000000001</v>
      </c>
      <c r="G21" s="9"/>
      <c r="H21" s="30">
        <f t="shared" si="1"/>
        <v>167.41399999999999</v>
      </c>
      <c r="I21" s="30">
        <v>5.83</v>
      </c>
      <c r="K21" s="30">
        <v>0</v>
      </c>
      <c r="L21" s="30"/>
      <c r="M21" s="30">
        <v>0</v>
      </c>
      <c r="N21" s="30">
        <v>0</v>
      </c>
      <c r="Q21" s="9">
        <f t="shared" si="0"/>
        <v>173.244</v>
      </c>
      <c r="R21" s="9">
        <v>1050.3219999999999</v>
      </c>
    </row>
    <row r="22" spans="1:19" ht="11.25" customHeight="1">
      <c r="A22" s="4">
        <v>1996</v>
      </c>
      <c r="B22" s="7">
        <v>7</v>
      </c>
      <c r="D22" s="30">
        <v>98.5</v>
      </c>
      <c r="E22" s="9"/>
      <c r="F22" s="9">
        <v>80.150000000000006</v>
      </c>
      <c r="G22" s="9"/>
      <c r="H22" s="30">
        <f t="shared" si="1"/>
        <v>178.65</v>
      </c>
      <c r="I22" s="30">
        <v>91.5</v>
      </c>
      <c r="K22" s="30">
        <v>0</v>
      </c>
      <c r="L22" s="30"/>
      <c r="M22" s="30">
        <v>0</v>
      </c>
      <c r="N22" s="30">
        <v>0</v>
      </c>
      <c r="Q22" s="9">
        <f t="shared" si="0"/>
        <v>270.14999999999998</v>
      </c>
      <c r="R22" s="9">
        <v>1788.77</v>
      </c>
    </row>
    <row r="23" spans="1:19" ht="11.25" customHeight="1">
      <c r="A23" s="4">
        <v>1997</v>
      </c>
      <c r="B23" s="7">
        <v>6</v>
      </c>
      <c r="D23" s="30">
        <f>45</f>
        <v>45</v>
      </c>
      <c r="E23" s="9"/>
      <c r="F23" s="9">
        <f>59.5-10</f>
        <v>49.5</v>
      </c>
      <c r="G23" s="9"/>
      <c r="H23" s="30">
        <f t="shared" si="1"/>
        <v>94.5</v>
      </c>
      <c r="I23" s="30">
        <v>0</v>
      </c>
      <c r="K23" s="30">
        <v>0</v>
      </c>
      <c r="L23" s="30"/>
      <c r="M23" s="30">
        <v>0</v>
      </c>
      <c r="N23" s="30">
        <v>0</v>
      </c>
      <c r="Q23" s="9">
        <f t="shared" si="0"/>
        <v>94.5</v>
      </c>
      <c r="R23" s="9">
        <v>1239.69</v>
      </c>
    </row>
    <row r="24" spans="1:19" ht="11.25" customHeight="1">
      <c r="A24" s="4">
        <v>1998</v>
      </c>
      <c r="B24" s="7">
        <v>6</v>
      </c>
      <c r="D24" s="30">
        <v>136.12</v>
      </c>
      <c r="E24" s="9"/>
      <c r="F24" s="9">
        <f>62.44-20-3</f>
        <v>39.44</v>
      </c>
      <c r="G24" s="9"/>
      <c r="H24" s="30">
        <f t="shared" si="1"/>
        <v>175.56</v>
      </c>
      <c r="I24" s="30">
        <v>151.077</v>
      </c>
      <c r="K24" s="30">
        <v>0</v>
      </c>
      <c r="L24" s="30"/>
      <c r="M24" s="30">
        <v>0</v>
      </c>
      <c r="N24" s="30">
        <v>0</v>
      </c>
      <c r="Q24" s="9">
        <f t="shared" si="0"/>
        <v>326.637</v>
      </c>
      <c r="R24" s="9">
        <v>1152.7</v>
      </c>
    </row>
    <row r="25" spans="1:19" ht="11.25" customHeight="1">
      <c r="A25" s="4">
        <v>1999</v>
      </c>
      <c r="B25" s="7">
        <v>3</v>
      </c>
      <c r="D25" s="30">
        <v>101.5</v>
      </c>
      <c r="E25" s="9"/>
      <c r="F25" s="9">
        <v>7.4</v>
      </c>
      <c r="G25" s="9"/>
      <c r="H25" s="30">
        <f t="shared" si="1"/>
        <v>108.9</v>
      </c>
      <c r="I25" s="30">
        <f>181.5-120</f>
        <v>61.5</v>
      </c>
      <c r="K25" s="30">
        <v>0</v>
      </c>
      <c r="L25" s="30"/>
      <c r="M25" s="30">
        <v>0</v>
      </c>
      <c r="N25" s="30">
        <v>0</v>
      </c>
      <c r="Q25" s="9">
        <f t="shared" si="0"/>
        <v>170.4</v>
      </c>
      <c r="R25" s="9">
        <v>847.7</v>
      </c>
    </row>
    <row r="26" spans="1:19" ht="11.25" customHeight="1">
      <c r="A26" s="4">
        <v>2000</v>
      </c>
      <c r="B26" s="7">
        <v>9</v>
      </c>
      <c r="D26" s="30">
        <v>152</v>
      </c>
      <c r="E26" s="14"/>
      <c r="F26" s="9">
        <v>77.650000000000006</v>
      </c>
      <c r="G26" s="9"/>
      <c r="H26" s="30">
        <f t="shared" si="1"/>
        <v>229.65</v>
      </c>
      <c r="I26" s="30">
        <v>45</v>
      </c>
      <c r="K26" s="30">
        <v>0</v>
      </c>
      <c r="L26" s="30"/>
      <c r="M26" s="30">
        <v>0</v>
      </c>
      <c r="N26" s="30">
        <v>0</v>
      </c>
      <c r="Q26" s="9">
        <f t="shared" si="0"/>
        <v>274.64999999999998</v>
      </c>
      <c r="R26" s="9">
        <v>1629.84</v>
      </c>
    </row>
    <row r="27" spans="1:19" ht="11.25" customHeight="1">
      <c r="A27" s="4">
        <v>2001</v>
      </c>
      <c r="B27" s="7">
        <v>6</v>
      </c>
      <c r="D27" s="30">
        <v>37.5</v>
      </c>
      <c r="E27" s="9"/>
      <c r="F27" s="9">
        <v>30.36</v>
      </c>
      <c r="G27" s="9"/>
      <c r="H27" s="30">
        <f t="shared" si="1"/>
        <v>67.86</v>
      </c>
      <c r="I27" s="30">
        <v>0</v>
      </c>
      <c r="K27" s="30">
        <v>0</v>
      </c>
      <c r="L27" s="30"/>
      <c r="M27" s="30">
        <v>0</v>
      </c>
      <c r="N27" s="30">
        <v>0</v>
      </c>
      <c r="Q27" s="9">
        <f t="shared" si="0"/>
        <v>67.86</v>
      </c>
      <c r="R27" s="9">
        <v>648</v>
      </c>
    </row>
    <row r="28" spans="1:19" ht="11.25" customHeight="1">
      <c r="A28" s="4">
        <v>2002</v>
      </c>
      <c r="B28" s="7">
        <v>6</v>
      </c>
      <c r="D28" s="30">
        <v>110</v>
      </c>
      <c r="E28" s="9"/>
      <c r="F28" s="9">
        <v>25.53</v>
      </c>
      <c r="G28" s="9"/>
      <c r="H28" s="30">
        <f t="shared" si="1"/>
        <v>135.53</v>
      </c>
      <c r="I28" s="30">
        <v>0</v>
      </c>
      <c r="K28" s="30">
        <v>0</v>
      </c>
      <c r="L28" s="30"/>
      <c r="M28" s="30">
        <v>60</v>
      </c>
      <c r="N28" s="30">
        <v>0</v>
      </c>
      <c r="Q28" s="9">
        <f t="shared" si="0"/>
        <v>195.53</v>
      </c>
      <c r="R28" s="42">
        <v>1136.5999999999999</v>
      </c>
      <c r="S28" s="10"/>
    </row>
    <row r="29" spans="1:19" ht="11.25" customHeight="1">
      <c r="A29" s="4">
        <v>2003</v>
      </c>
      <c r="B29" s="7">
        <v>7</v>
      </c>
      <c r="D29" s="30">
        <f>187-20-45</f>
        <v>122</v>
      </c>
      <c r="E29" s="9"/>
      <c r="F29" s="9">
        <f>35+0.65</f>
        <v>35.65</v>
      </c>
      <c r="G29" s="9"/>
      <c r="H29" s="30">
        <f t="shared" si="1"/>
        <v>157.65</v>
      </c>
      <c r="I29" s="30">
        <v>170</v>
      </c>
      <c r="K29" s="30">
        <f>65</f>
        <v>65</v>
      </c>
      <c r="L29" s="30"/>
      <c r="M29" s="30">
        <v>0</v>
      </c>
      <c r="N29" s="30">
        <v>150</v>
      </c>
      <c r="Q29" s="9">
        <f t="shared" si="0"/>
        <v>542.65</v>
      </c>
      <c r="R29" s="9">
        <v>2300</v>
      </c>
    </row>
    <row r="30" spans="1:19" ht="11.25" customHeight="1">
      <c r="A30" s="4">
        <v>2004</v>
      </c>
      <c r="B30" s="7">
        <f>15-1</f>
        <v>14</v>
      </c>
      <c r="C30" s="31"/>
      <c r="D30" s="30">
        <f>292.5-200</f>
        <v>92.5</v>
      </c>
      <c r="E30" s="9"/>
      <c r="F30" s="9">
        <v>164.37</v>
      </c>
      <c r="G30" s="9"/>
      <c r="H30" s="30">
        <f t="shared" si="1"/>
        <v>256.87</v>
      </c>
      <c r="I30" s="30">
        <v>0</v>
      </c>
      <c r="K30" s="30">
        <v>0</v>
      </c>
      <c r="L30" s="30"/>
      <c r="M30" s="30">
        <v>10</v>
      </c>
      <c r="N30" s="30">
        <f>200-200</f>
        <v>0</v>
      </c>
      <c r="Q30" s="9">
        <f t="shared" si="0"/>
        <v>266.87</v>
      </c>
      <c r="R30" s="9">
        <v>2227.6999999999998</v>
      </c>
    </row>
    <row r="31" spans="1:19" ht="11.25" customHeight="1">
      <c r="A31" s="4">
        <v>2005</v>
      </c>
      <c r="B31" s="7">
        <v>13</v>
      </c>
      <c r="C31" s="31"/>
      <c r="D31" s="30">
        <v>513.02</v>
      </c>
      <c r="E31" s="9"/>
      <c r="F31" s="9">
        <v>175.5</v>
      </c>
      <c r="G31" s="1"/>
      <c r="H31" s="30">
        <f t="shared" si="1"/>
        <v>688.52</v>
      </c>
      <c r="I31" s="30">
        <v>0</v>
      </c>
      <c r="K31" s="30">
        <v>18.399999999999999</v>
      </c>
      <c r="L31" s="30"/>
      <c r="M31" s="30">
        <v>0</v>
      </c>
      <c r="N31" s="30">
        <v>0</v>
      </c>
      <c r="Q31" s="9">
        <f t="shared" si="0"/>
        <v>706.92</v>
      </c>
      <c r="R31" s="9">
        <f>8776.42-100</f>
        <v>8676.42</v>
      </c>
    </row>
    <row r="32" spans="1:19" ht="11.25" customHeight="1">
      <c r="A32" s="4">
        <v>2006</v>
      </c>
      <c r="B32" s="7">
        <v>18</v>
      </c>
      <c r="C32" s="31"/>
      <c r="D32" s="30">
        <v>450</v>
      </c>
      <c r="E32" s="9"/>
      <c r="F32" s="9">
        <f>235.5-5</f>
        <v>230.5</v>
      </c>
      <c r="G32" s="1"/>
      <c r="H32" s="30">
        <f t="shared" si="1"/>
        <v>680.5</v>
      </c>
      <c r="I32" s="30">
        <v>330</v>
      </c>
      <c r="K32" s="30">
        <v>109.8</v>
      </c>
      <c r="L32" s="30"/>
      <c r="M32" s="30">
        <v>15</v>
      </c>
      <c r="N32" s="30">
        <v>0</v>
      </c>
      <c r="Q32" s="9">
        <f t="shared" si="0"/>
        <v>1135.3</v>
      </c>
      <c r="R32" s="9">
        <f>8580.84-50-652.5-200</f>
        <v>7678.34</v>
      </c>
    </row>
    <row r="33" spans="1:19" ht="11.25" customHeight="1">
      <c r="A33" s="4">
        <v>2007</v>
      </c>
      <c r="B33" s="7">
        <v>21</v>
      </c>
      <c r="C33" s="31"/>
      <c r="D33" s="30">
        <v>650.27</v>
      </c>
      <c r="E33" s="9"/>
      <c r="F33" s="9">
        <v>79.75</v>
      </c>
      <c r="G33" s="1"/>
      <c r="H33" s="30">
        <f t="shared" si="1"/>
        <v>730.02</v>
      </c>
      <c r="I33" s="30">
        <v>200</v>
      </c>
      <c r="K33" s="30">
        <v>251</v>
      </c>
      <c r="L33" s="30"/>
      <c r="M33" s="30">
        <v>0</v>
      </c>
      <c r="N33" s="30">
        <v>0</v>
      </c>
      <c r="Q33" s="9">
        <f t="shared" si="0"/>
        <v>1181.02</v>
      </c>
      <c r="R33" s="9">
        <v>3494.54</v>
      </c>
    </row>
    <row r="34" spans="1:19" ht="11.25" customHeight="1">
      <c r="A34" s="4">
        <v>2008</v>
      </c>
      <c r="B34" s="7">
        <v>12</v>
      </c>
      <c r="C34" s="31"/>
      <c r="D34" s="30">
        <f>1521.582-225</f>
        <v>1296.5820000000001</v>
      </c>
      <c r="E34" s="9"/>
      <c r="F34" s="9">
        <v>103.08</v>
      </c>
      <c r="G34" s="1"/>
      <c r="H34" s="30">
        <f t="shared" si="1"/>
        <v>1399.662</v>
      </c>
      <c r="I34" s="30">
        <v>425</v>
      </c>
      <c r="K34" s="30">
        <v>0</v>
      </c>
      <c r="L34" s="30"/>
      <c r="M34" s="30">
        <v>0</v>
      </c>
      <c r="Q34" s="9">
        <f t="shared" si="0"/>
        <v>1824.662</v>
      </c>
      <c r="R34" s="9">
        <f>9992.493-100-225</f>
        <v>9667.4930000000004</v>
      </c>
    </row>
    <row r="35" spans="1:19" ht="11.25" customHeight="1">
      <c r="A35" s="4">
        <v>2009</v>
      </c>
      <c r="B35" s="7">
        <v>11</v>
      </c>
      <c r="C35" s="31"/>
      <c r="D35" s="30">
        <v>437.87</v>
      </c>
      <c r="E35" s="9"/>
      <c r="F35" s="9">
        <v>220</v>
      </c>
      <c r="G35" s="1"/>
      <c r="H35" s="30">
        <f t="shared" si="1"/>
        <v>657.87</v>
      </c>
      <c r="I35" s="30">
        <v>276.2</v>
      </c>
      <c r="K35" s="30">
        <v>0</v>
      </c>
      <c r="L35" s="30"/>
      <c r="M35" s="30"/>
      <c r="N35" s="30">
        <v>850</v>
      </c>
      <c r="Q35" s="9">
        <f t="shared" si="0"/>
        <v>1784.07</v>
      </c>
      <c r="R35" s="9">
        <f>4505.92-172.4</f>
        <v>4333.5200000000004</v>
      </c>
    </row>
    <row r="36" spans="1:19" ht="11.25" customHeight="1">
      <c r="A36" s="4">
        <v>2010</v>
      </c>
      <c r="B36" s="7">
        <v>19</v>
      </c>
      <c r="C36" s="31"/>
      <c r="D36" s="30">
        <v>1034.7</v>
      </c>
      <c r="E36" s="9"/>
      <c r="F36" s="9">
        <v>235</v>
      </c>
      <c r="G36" s="1"/>
      <c r="H36" s="30">
        <f>F36+D36</f>
        <v>1269.7</v>
      </c>
      <c r="I36" s="30">
        <v>320</v>
      </c>
      <c r="K36" s="30">
        <v>500</v>
      </c>
      <c r="L36" s="30"/>
      <c r="M36" s="30">
        <v>0</v>
      </c>
      <c r="N36" s="30">
        <v>0</v>
      </c>
      <c r="P36" s="30">
        <v>2</v>
      </c>
      <c r="Q36" s="9">
        <f>SUM(H36:P36)</f>
        <v>2091.6999999999998</v>
      </c>
      <c r="R36" s="9">
        <v>5942.42</v>
      </c>
      <c r="S36" s="1" t="s">
        <v>58</v>
      </c>
    </row>
    <row r="37" spans="1:19" ht="11.25" customHeight="1">
      <c r="A37" s="4">
        <v>2011</v>
      </c>
      <c r="B37" s="7">
        <v>17</v>
      </c>
      <c r="C37" s="31"/>
      <c r="D37" s="30">
        <v>1600</v>
      </c>
      <c r="E37" s="9"/>
      <c r="F37" s="9">
        <v>89</v>
      </c>
      <c r="G37" s="1"/>
      <c r="H37" s="30">
        <f>F37+D37</f>
        <v>1689</v>
      </c>
      <c r="I37" s="30">
        <v>200</v>
      </c>
      <c r="K37" s="30">
        <v>216.61</v>
      </c>
      <c r="L37" s="30"/>
      <c r="M37" s="30">
        <v>200</v>
      </c>
      <c r="N37" s="30">
        <v>0</v>
      </c>
      <c r="P37" s="30">
        <v>0</v>
      </c>
      <c r="Q37" s="9">
        <f>SUM(H37:P37)</f>
        <v>2305.61</v>
      </c>
      <c r="R37" s="9">
        <v>10838.76</v>
      </c>
      <c r="S37" s="1" t="s">
        <v>59</v>
      </c>
    </row>
    <row r="38" spans="1:19" ht="11.25" customHeight="1">
      <c r="A38" s="4">
        <v>2012</v>
      </c>
      <c r="B38" s="7">
        <v>22</v>
      </c>
      <c r="C38" s="31"/>
      <c r="D38" s="30">
        <v>1106.8399999999999</v>
      </c>
      <c r="E38" s="47" t="s">
        <v>52</v>
      </c>
      <c r="F38" s="9">
        <v>131</v>
      </c>
      <c r="G38" s="1"/>
      <c r="H38" s="30">
        <f>F38+D38</f>
        <v>1237.8399999999999</v>
      </c>
      <c r="I38" s="30">
        <v>200</v>
      </c>
      <c r="J38" s="1"/>
      <c r="K38" s="30">
        <v>128</v>
      </c>
      <c r="L38" s="30"/>
      <c r="M38" s="30">
        <v>275</v>
      </c>
      <c r="N38" s="30">
        <v>0</v>
      </c>
      <c r="O38" s="30">
        <v>200</v>
      </c>
      <c r="P38" s="30">
        <v>0</v>
      </c>
      <c r="Q38" s="9">
        <f>SUM(H38:P38)</f>
        <v>2040.84</v>
      </c>
      <c r="R38" s="9">
        <v>10514.9</v>
      </c>
      <c r="S38" s="1" t="s">
        <v>57</v>
      </c>
    </row>
    <row r="39" spans="1:19" ht="11.25" customHeight="1">
      <c r="A39" s="4">
        <v>2013</v>
      </c>
      <c r="B39" s="7">
        <v>22</v>
      </c>
      <c r="D39" s="10">
        <v>1425.3</v>
      </c>
      <c r="F39" s="10">
        <v>142</v>
      </c>
      <c r="H39" s="30">
        <f>F39+D39</f>
        <v>1567.3</v>
      </c>
      <c r="I39" s="9">
        <v>220</v>
      </c>
      <c r="J39" s="47" t="s">
        <v>53</v>
      </c>
      <c r="K39" s="9">
        <v>35</v>
      </c>
      <c r="Q39" s="9">
        <f>SUM(H39:P39)</f>
        <v>1822.3</v>
      </c>
      <c r="R39" s="30">
        <v>5048.83</v>
      </c>
    </row>
    <row r="40" spans="1:19" ht="3.75" customHeight="1">
      <c r="A40" s="4"/>
      <c r="D40" s="9"/>
      <c r="E40" s="9"/>
      <c r="F40" s="9"/>
      <c r="G40" s="9"/>
      <c r="Q40" s="9"/>
    </row>
    <row r="41" spans="1:19" ht="14.25" customHeight="1">
      <c r="A41" s="28" t="s">
        <v>17</v>
      </c>
      <c r="B41" s="45">
        <f>SUM(B9:B39)-10</f>
        <v>310</v>
      </c>
      <c r="C41" s="48" t="s">
        <v>33</v>
      </c>
      <c r="D41" s="29">
        <f>SUM(D9:D39)</f>
        <v>10126.111999999999</v>
      </c>
      <c r="E41" s="29"/>
      <c r="F41" s="29">
        <f>SUM(F9:F40)</f>
        <v>2290.2329999999997</v>
      </c>
      <c r="G41" s="29"/>
      <c r="H41" s="29">
        <f>F41+D41-0.01</f>
        <v>12416.334999999999</v>
      </c>
      <c r="I41" s="29">
        <f>SUM(I9:I40)</f>
        <v>2877.0070000000001</v>
      </c>
      <c r="J41" s="29"/>
      <c r="K41" s="29">
        <f>SUM(K9:K40)</f>
        <v>1323.81</v>
      </c>
      <c r="L41" s="29"/>
      <c r="M41" s="29">
        <f>SUM(M9:M40)</f>
        <v>560</v>
      </c>
      <c r="N41" s="43">
        <f>SUM(N9:N40)</f>
        <v>1000</v>
      </c>
      <c r="O41" s="43">
        <f>SUM(O9:O40)</f>
        <v>200</v>
      </c>
      <c r="P41" s="43">
        <f>SUM(P9:P40)</f>
        <v>2</v>
      </c>
      <c r="Q41" s="43">
        <f>SUM(Q9:Q40)</f>
        <v>18379.162</v>
      </c>
      <c r="R41" s="29">
        <f>SUM(R9:R40)-0.01</f>
        <v>88540.875</v>
      </c>
    </row>
    <row r="42" spans="1:19" ht="11.25" customHeight="1">
      <c r="A42" s="3" t="s">
        <v>10</v>
      </c>
      <c r="B42" s="33"/>
      <c r="C42" s="33"/>
      <c r="D42" s="9"/>
      <c r="E42" s="9"/>
      <c r="F42" s="9"/>
      <c r="G42" s="9"/>
      <c r="Q42" s="9"/>
      <c r="S42" s="10">
        <f>1125+200+429</f>
        <v>1754</v>
      </c>
    </row>
    <row r="43" spans="1:19" ht="11.25" customHeight="1">
      <c r="A43" s="1" t="s">
        <v>35</v>
      </c>
    </row>
    <row r="44" spans="1:19" ht="11.25" customHeight="1">
      <c r="A44" s="1" t="s">
        <v>37</v>
      </c>
    </row>
    <row r="45" spans="1:19" ht="11.25" customHeight="1">
      <c r="A45" s="1" t="s">
        <v>41</v>
      </c>
    </row>
    <row r="46" spans="1:19" ht="11.25" customHeight="1">
      <c r="A46" s="1" t="s">
        <v>39</v>
      </c>
    </row>
    <row r="47" spans="1:19" ht="11.25" customHeight="1">
      <c r="A47" s="1" t="s">
        <v>42</v>
      </c>
    </row>
    <row r="48" spans="1:19" ht="11.25" customHeight="1">
      <c r="A48" s="46" t="s">
        <v>50</v>
      </c>
    </row>
    <row r="49" spans="1:1" ht="11.25" customHeight="1">
      <c r="A49" s="1" t="s">
        <v>54</v>
      </c>
    </row>
    <row r="50" spans="1:1" ht="11.25" customHeight="1">
      <c r="A50" s="1" t="s">
        <v>55</v>
      </c>
    </row>
  </sheetData>
  <mergeCells count="2">
    <mergeCell ref="I5:J5"/>
    <mergeCell ref="I6:J6"/>
  </mergeCells>
  <phoneticPr fontId="2" type="noConversion"/>
  <printOptions horizontalCentered="1"/>
  <pageMargins left="0.5" right="0.5" top="1.33858267716535" bottom="0.94488188976377996" header="0.511811023622047" footer="0.5"/>
  <pageSetup scale="75" orientation="portrait" horizontalDpi="300"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8.83203125" defaultRowHeight="13"/>
  <sheetData/>
  <phoneticPr fontId="0" type="noConversion"/>
  <printOptions gridLines="1" gridLinesSet="0"/>
  <pageMargins left="0.75" right="0.75" top="1" bottom="1" header="0.5" footer="0.5"/>
  <pageSetup orientation="portrait" horizontalDpi="4294967292" verticalDpi="4294967292"/>
  <headerFooter>
    <oddHeader>&amp;A</oddHeader>
    <oddFooter>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stat-annex12</vt:lpstr>
      <vt:lpstr>T11-1205chartdetails</vt:lpstr>
      <vt:lpstr>details</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details!Print_Area</vt:lpstr>
      <vt:lpstr>'stat-annex12'!Print_Area</vt:lpstr>
      <vt:lpstr>'T11-1205chartdetails'!Print_Area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Nonsovereign Commitments by Country, Ordinary Capital Resources, 2007–2018</dc:title>
  <dc:subject>This table presents ADB’s total nonsovereign commitments by developing member country from 2007 to 2018.</dc:subject>
  <dc:creator>Asian Development Bank</dc:creator>
  <cp:keywords>adb annual report, adb annual report 2018, adb ar2018, adb nonsovereign commitments, adb member country, developing member country, adb dmc, adb loans, adb equity investments, total adb funds, adb guarantees, adb ocr, ordinary capital resources, private s</cp:keywords>
  <dc:description/>
  <cp:lastModifiedBy>Microsoft Office User</cp:lastModifiedBy>
  <cp:lastPrinted>2018-04-10T02:10:43Z</cp:lastPrinted>
  <dcterms:created xsi:type="dcterms:W3CDTF">1999-01-24T03:13:28Z</dcterms:created>
  <dcterms:modified xsi:type="dcterms:W3CDTF">2019-04-15T03:08:45Z</dcterms:modified>
  <cp:category/>
</cp:coreProperties>
</file>