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FADC2DC8-40D1-9742-B87E-DBBA1A76566B}" xr6:coauthVersionLast="32" xr6:coauthVersionMax="32" xr10:uidLastSave="{00000000-0000-0000-0000-000000000000}"/>
  <bookViews>
    <workbookView xWindow="0" yWindow="460" windowWidth="19320" windowHeight="13740" tabRatio="464" xr2:uid="{00000000-000D-0000-FFFF-FFFF00000000}"/>
  </bookViews>
  <sheets>
    <sheet name="stat-annex12" sheetId="1" r:id="rId1"/>
    <sheet name="T11-1205chartdetails" sheetId="17" state="hidden" r:id="rId2"/>
    <sheet name="details" sheetId="18" r:id="rId3"/>
    <sheet name="Sheet2" sheetId="2" r:id="rId4"/>
    <sheet name="Sheet3" sheetId="3" r:id="rId5"/>
    <sheet name="Sheet4" sheetId="4" r:id="rId6"/>
    <sheet name="Sheet5" sheetId="5" r:id="rId7"/>
    <sheet name="Sheet6" sheetId="6" r:id="rId8"/>
    <sheet name="Sheet7" sheetId="7" r:id="rId9"/>
    <sheet name="Sheet8" sheetId="8" r:id="rId10"/>
    <sheet name="Sheet9" sheetId="9" r:id="rId11"/>
    <sheet name="Sheet10" sheetId="10" r:id="rId12"/>
    <sheet name="Sheet11" sheetId="11" r:id="rId13"/>
    <sheet name="Sheet12" sheetId="12" r:id="rId14"/>
    <sheet name="Sheet13" sheetId="13" r:id="rId15"/>
    <sheet name="Sheet14" sheetId="14" r:id="rId16"/>
    <sheet name="Sheet15" sheetId="15" r:id="rId17"/>
    <sheet name="Sheet16" sheetId="16" r:id="rId18"/>
  </sheets>
  <definedNames>
    <definedName name="_xlnm.Print_Area" localSheetId="2">details!$A$1:$Q$46</definedName>
    <definedName name="_xlnm.Print_Area" localSheetId="0">'stat-annex12'!$A$1:$O$28</definedName>
    <definedName name="_xlnm.Print_Area" localSheetId="1">'T11-1205chartdetails'!$A$1:$P$40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6" i="1" l="1"/>
  <c r="S42" i="18" l="1"/>
  <c r="P41" i="18"/>
  <c r="O41" i="18"/>
  <c r="M41" i="18"/>
  <c r="H39" i="18"/>
  <c r="Q39" i="18" s="1"/>
  <c r="H38" i="18"/>
  <c r="Q38" i="18"/>
  <c r="H37" i="18"/>
  <c r="Q37" i="18" s="1"/>
  <c r="H36" i="18"/>
  <c r="Q36" i="18"/>
  <c r="R35" i="18"/>
  <c r="H35" i="18"/>
  <c r="Q35" i="18" s="1"/>
  <c r="R34" i="18"/>
  <c r="R31" i="18"/>
  <c r="R32" i="18"/>
  <c r="D34" i="18"/>
  <c r="H34" i="18" s="1"/>
  <c r="Q34" i="18" s="1"/>
  <c r="H33" i="18"/>
  <c r="Q33" i="18"/>
  <c r="F32" i="18"/>
  <c r="H32" i="18" s="1"/>
  <c r="Q32" i="18" s="1"/>
  <c r="H31" i="18"/>
  <c r="Q31" i="18"/>
  <c r="N30" i="18"/>
  <c r="N41" i="18" s="1"/>
  <c r="D30" i="18"/>
  <c r="H30" i="18" s="1"/>
  <c r="Q30" i="18" s="1"/>
  <c r="B30" i="18"/>
  <c r="B41" i="18" s="1"/>
  <c r="K29" i="18"/>
  <c r="K41" i="18" s="1"/>
  <c r="F29" i="18"/>
  <c r="D29" i="18"/>
  <c r="H29" i="18"/>
  <c r="Q29" i="18" s="1"/>
  <c r="H28" i="18"/>
  <c r="Q28" i="18" s="1"/>
  <c r="H27" i="18"/>
  <c r="Q27" i="18" s="1"/>
  <c r="H26" i="18"/>
  <c r="Q26" i="18" s="1"/>
  <c r="I25" i="18"/>
  <c r="H25" i="18"/>
  <c r="Q25" i="18" s="1"/>
  <c r="F24" i="18"/>
  <c r="H24" i="18" s="1"/>
  <c r="Q24" i="18" s="1"/>
  <c r="F23" i="18"/>
  <c r="D23" i="18"/>
  <c r="H23" i="18"/>
  <c r="Q23" i="18" s="1"/>
  <c r="H22" i="18"/>
  <c r="Q22" i="18" s="1"/>
  <c r="D21" i="18"/>
  <c r="H21" i="18" s="1"/>
  <c r="Q21" i="18" s="1"/>
  <c r="D13" i="18"/>
  <c r="D15" i="18"/>
  <c r="D16" i="18"/>
  <c r="D17" i="18"/>
  <c r="H20" i="18"/>
  <c r="Q20" i="18" s="1"/>
  <c r="H19" i="18"/>
  <c r="Q19" i="18" s="1"/>
  <c r="H18" i="18"/>
  <c r="Q18" i="18" s="1"/>
  <c r="F17" i="18"/>
  <c r="F16" i="18"/>
  <c r="F15" i="18"/>
  <c r="F14" i="18"/>
  <c r="H14" i="18" s="1"/>
  <c r="Q14" i="18" s="1"/>
  <c r="F13" i="18"/>
  <c r="H12" i="18"/>
  <c r="Q12" i="18" s="1"/>
  <c r="H11" i="18"/>
  <c r="Q11" i="18" s="1"/>
  <c r="H10" i="18"/>
  <c r="Q10" i="18" s="1"/>
  <c r="H9" i="18"/>
  <c r="Q9" i="18" s="1"/>
  <c r="J26" i="1"/>
  <c r="F26" i="1"/>
  <c r="D26" i="1"/>
  <c r="N26" i="1"/>
  <c r="L26" i="1"/>
  <c r="H9" i="17"/>
  <c r="O9" i="17" s="1"/>
  <c r="H10" i="17"/>
  <c r="O10" i="17"/>
  <c r="H11" i="17"/>
  <c r="O11" i="17" s="1"/>
  <c r="H12" i="17"/>
  <c r="O12" i="17" s="1"/>
  <c r="D13" i="17"/>
  <c r="F13" i="17"/>
  <c r="F14" i="17"/>
  <c r="H14" i="17" s="1"/>
  <c r="D15" i="17"/>
  <c r="F15" i="17"/>
  <c r="D16" i="17"/>
  <c r="H16" i="17" s="1"/>
  <c r="O16" i="17" s="1"/>
  <c r="F16" i="17"/>
  <c r="D17" i="17"/>
  <c r="F17" i="17"/>
  <c r="H18" i="17"/>
  <c r="O18" i="17" s="1"/>
  <c r="H19" i="17"/>
  <c r="O19" i="17" s="1"/>
  <c r="H20" i="17"/>
  <c r="O20" i="17" s="1"/>
  <c r="D21" i="17"/>
  <c r="H21" i="17" s="1"/>
  <c r="O21" i="17" s="1"/>
  <c r="H22" i="17"/>
  <c r="O22" i="17" s="1"/>
  <c r="B23" i="17"/>
  <c r="B30" i="17"/>
  <c r="D23" i="17"/>
  <c r="F23" i="17"/>
  <c r="F24" i="17"/>
  <c r="H24" i="17" s="1"/>
  <c r="O24" i="17" s="1"/>
  <c r="H25" i="17"/>
  <c r="I25" i="17"/>
  <c r="I33" i="17" s="1"/>
  <c r="P25" i="17"/>
  <c r="H26" i="17"/>
  <c r="O26" i="17" s="1"/>
  <c r="H27" i="17"/>
  <c r="O27" i="17" s="1"/>
  <c r="H28" i="17"/>
  <c r="O28" i="17" s="1"/>
  <c r="D29" i="17"/>
  <c r="F29" i="17"/>
  <c r="K29" i="17"/>
  <c r="K33" i="17"/>
  <c r="P29" i="17"/>
  <c r="D30" i="17"/>
  <c r="F30" i="17"/>
  <c r="H30" i="17"/>
  <c r="O30" i="17" s="1"/>
  <c r="P30" i="17"/>
  <c r="D31" i="17"/>
  <c r="H31" i="17"/>
  <c r="O31" i="17"/>
  <c r="L33" i="17"/>
  <c r="M33" i="17"/>
  <c r="I41" i="18"/>
  <c r="H29" i="17" l="1"/>
  <c r="O29" i="17" s="1"/>
  <c r="F41" i="18"/>
  <c r="H23" i="17"/>
  <c r="O23" i="17" s="1"/>
  <c r="H13" i="17"/>
  <c r="O13" i="17" s="1"/>
  <c r="O25" i="17"/>
  <c r="H17" i="18"/>
  <c r="Q17" i="18" s="1"/>
  <c r="B33" i="17"/>
  <c r="H13" i="18"/>
  <c r="Q13" i="18" s="1"/>
  <c r="D41" i="18"/>
  <c r="H15" i="17"/>
  <c r="O15" i="17" s="1"/>
  <c r="D33" i="17"/>
  <c r="R41" i="18"/>
  <c r="H17" i="17"/>
  <c r="O17" i="17" s="1"/>
  <c r="P33" i="17"/>
  <c r="H16" i="18"/>
  <c r="Q16" i="18" s="1"/>
  <c r="H26" i="1"/>
  <c r="O14" i="17"/>
  <c r="H41" i="18"/>
  <c r="F33" i="17"/>
  <c r="H15" i="18"/>
  <c r="Q15" i="18" s="1"/>
  <c r="Q41" i="18" l="1"/>
  <c r="H33" i="17"/>
  <c r="O3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CLS</author>
  </authors>
  <commentList>
    <comment ref="B3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16 less 1 due to cancellaiton of IND: Torrent $54.4 loan and $20.6 equity
(less $724.0 proj.cost)</t>
        </r>
      </text>
    </comment>
    <comment ref="P3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less $724.0 cancellation of IND: Torrent
</t>
        </r>
      </text>
    </comment>
  </commentList>
</comments>
</file>

<file path=xl/sharedStrings.xml><?xml version="1.0" encoding="utf-8"?>
<sst xmlns="http://schemas.openxmlformats.org/spreadsheetml/2006/main" count="103" uniqueCount="68">
  <si>
    <t>(amounts in $ million)</t>
  </si>
  <si>
    <t>Total</t>
  </si>
  <si>
    <t>No. of</t>
  </si>
  <si>
    <t>Equity</t>
  </si>
  <si>
    <t>Year</t>
  </si>
  <si>
    <t>Loan</t>
  </si>
  <si>
    <t>Funds</t>
  </si>
  <si>
    <t>a/  Net of cancellations.</t>
  </si>
  <si>
    <t>b/  Includes equity investments, lines of equity and equity underwriting.</t>
  </si>
  <si>
    <t>ADB</t>
  </si>
  <si>
    <t>- Data not applicable.</t>
  </si>
  <si>
    <t xml:space="preserve"> Total </t>
  </si>
  <si>
    <t xml:space="preserve"> Project </t>
  </si>
  <si>
    <t xml:space="preserve"> Cost </t>
  </si>
  <si>
    <t>Political</t>
  </si>
  <si>
    <t>Risk</t>
  </si>
  <si>
    <t>Guarantee</t>
  </si>
  <si>
    <t>TOTAL</t>
  </si>
  <si>
    <r>
      <t>Projects</t>
    </r>
    <r>
      <rPr>
        <b/>
        <vertAlign val="superscript"/>
        <sz val="8"/>
        <rFont val="Arial"/>
        <family val="2"/>
      </rPr>
      <t>a</t>
    </r>
  </si>
  <si>
    <r>
      <t>Investment</t>
    </r>
    <r>
      <rPr>
        <b/>
        <vertAlign val="superscript"/>
        <sz val="8"/>
        <rFont val="Arial"/>
        <family val="2"/>
      </rPr>
      <t>b</t>
    </r>
  </si>
  <si>
    <r>
      <t>Approvals</t>
    </r>
    <r>
      <rPr>
        <b/>
        <vertAlign val="superscript"/>
        <sz val="8"/>
        <rFont val="Arial"/>
        <family val="2"/>
      </rPr>
      <t>a</t>
    </r>
  </si>
  <si>
    <t>Partial</t>
  </si>
  <si>
    <t>Credit</t>
  </si>
  <si>
    <t>Complementary Loan/</t>
  </si>
  <si>
    <t>Political Risk Guarantee</t>
  </si>
  <si>
    <t>Co-guarantor Program</t>
  </si>
  <si>
    <t>Table 11</t>
  </si>
  <si>
    <t>Swap</t>
  </si>
  <si>
    <t>with</t>
  </si>
  <si>
    <t>DMCs</t>
  </si>
  <si>
    <t>c</t>
  </si>
  <si>
    <t>c/  Includes an approved project for the expansion of the Grameenphone Telecommunications in Bangladesh.</t>
  </si>
  <si>
    <t>PRIVATE SECTOR LOAN AND EQUITY INVESTMENT APPROVALS, BY YEAR, 1983-2005</t>
  </si>
  <si>
    <t>d</t>
  </si>
  <si>
    <t>d/  Includes an approved project for the Inrastructure Development Finance Co. Limited in India.</t>
  </si>
  <si>
    <t>a/  Includes nonsovereign projects processed by the Private Sector Operations Department and various regional operations departments of the Bank.</t>
  </si>
  <si>
    <t>Projects</t>
  </si>
  <si>
    <t xml:space="preserve">     Regional operations departments started nonsovereign operations in 2007.</t>
  </si>
  <si>
    <r>
      <t xml:space="preserve">Investment </t>
    </r>
    <r>
      <rPr>
        <b/>
        <vertAlign val="superscript"/>
        <sz val="11"/>
        <rFont val="Arial"/>
        <family val="2"/>
      </rPr>
      <t>c</t>
    </r>
  </si>
  <si>
    <t>c/  Includes equity investments, lines of equity and equity underwriting.</t>
  </si>
  <si>
    <t>Approvals</t>
  </si>
  <si>
    <t>b/  Net of facilities cancelled in full before signing.</t>
  </si>
  <si>
    <t>d/  Supplementary approvals are not included in the cumulative count of projects.</t>
  </si>
  <si>
    <t>Grant</t>
  </si>
  <si>
    <t>TFP</t>
  </si>
  <si>
    <t>B Loan</t>
  </si>
  <si>
    <t>Supply</t>
  </si>
  <si>
    <t xml:space="preserve">Chain </t>
  </si>
  <si>
    <r>
      <t xml:space="preserve">NONSOVEREIGN APPROVALS BY YEAR, 1983-2012 </t>
    </r>
    <r>
      <rPr>
        <vertAlign val="superscript"/>
        <sz val="11"/>
        <rFont val="Arial"/>
        <family val="2"/>
      </rPr>
      <t>a b</t>
    </r>
  </si>
  <si>
    <r>
      <t xml:space="preserve">Finance </t>
    </r>
    <r>
      <rPr>
        <b/>
        <vertAlign val="superscript"/>
        <sz val="8"/>
        <rFont val="Arial"/>
        <family val="2"/>
      </rPr>
      <t>e</t>
    </r>
  </si>
  <si>
    <t xml:space="preserve">e/  Supply Chain Finance is a program that provides guarantees and loans (both without government guarantee) through partner financial institutions to support payments to suppliers and distributors of goods in ADB's DMCs.  </t>
  </si>
  <si>
    <t xml:space="preserve">Loan </t>
  </si>
  <si>
    <t>f</t>
  </si>
  <si>
    <t>g</t>
  </si>
  <si>
    <t>f/   Includes a $35 million investment in debt security.</t>
  </si>
  <si>
    <t>g/  Includes a local currency complementary loan of $100 million.</t>
  </si>
  <si>
    <t>Statistical Annex 9</t>
  </si>
  <si>
    <t>less IND: ICICI Bank $100 M loan and $100M project cost</t>
  </si>
  <si>
    <t>less GEO: Bank Republic $20M loan, project cost $20M and PRC: Jilin Wind ($60M loan, $120M B loans), IND: Micro, small and medium enterprise PCG250M, project cost 300</t>
  </si>
  <si>
    <t>less LAO: Nam Ngum 3 ($350 M, project cost $1,125 M), PRC: Sino-Green ($25 M equity, $200 M project cost), and IND: Solar Power Generation Guarantee Facility ($150 M PCG, project cost $429 M))</t>
  </si>
  <si>
    <t>Total ADB</t>
  </si>
  <si>
    <t>Partial Credit</t>
  </si>
  <si>
    <t>Political Risk</t>
  </si>
  <si>
    <t>- = data not applicable, ADB = Asian Development Bank.</t>
  </si>
  <si>
    <r>
      <t>Nonsovereign Commitments by Year, Ordinary Capital Resources, 2007–2017</t>
    </r>
    <r>
      <rPr>
        <vertAlign val="superscript"/>
        <sz val="11"/>
        <color theme="1"/>
        <rFont val="Arial"/>
        <family val="2"/>
      </rPr>
      <t>a</t>
    </r>
    <r>
      <rPr>
        <sz val="11"/>
        <color rgb="FF007DB7"/>
        <rFont val="Arial"/>
        <family val="2"/>
      </rPr>
      <t xml:space="preserve"> </t>
    </r>
  </si>
  <si>
    <t>Investment</t>
  </si>
  <si>
    <t>Commitments</t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</si>
  <si>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 Includes nonsovereign projects processed by the Private Sector Operations Department and various regional operations departments of ADB. Regional operations departments 
    started nonsovereign operations in 2007.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</si>
</sst>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vertAlign val="superscript"/>
      <sz val="11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Border="1" applyAlignment="1">
      <alignment horizontal="left"/>
    </xf>
    <xf numFmtId="1" fontId="3" fillId="0" borderId="0" xfId="0" quotePrefix="1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4" fontId="2" fillId="0" borderId="0" xfId="1" applyNumberFormat="1" applyFont="1"/>
    <xf numFmtId="4" fontId="2" fillId="0" borderId="0" xfId="0" applyNumberFormat="1" applyFont="1"/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2" fillId="0" borderId="0" xfId="1" applyNumberFormat="1" applyFont="1" applyAlignment="1"/>
    <xf numFmtId="4" fontId="4" fillId="0" borderId="0" xfId="1" applyNumberFormat="1" applyFont="1" applyAlignment="1">
      <alignment horizontal="left"/>
    </xf>
    <xf numFmtId="4" fontId="2" fillId="0" borderId="0" xfId="1" applyNumberFormat="1" applyFont="1" applyBorder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4" fontId="3" fillId="0" borderId="0" xfId="1" applyNumberFormat="1" applyFont="1" applyBorder="1" applyAlignment="1">
      <alignment horizontal="center"/>
    </xf>
    <xf numFmtId="4" fontId="3" fillId="0" borderId="0" xfId="1" applyNumberFormat="1" applyFont="1" applyBorder="1" applyAlignment="1">
      <alignment horizontal="centerContinuous"/>
    </xf>
    <xf numFmtId="4" fontId="3" fillId="0" borderId="0" xfId="1" quotePrefix="1" applyNumberFormat="1" applyFont="1" applyBorder="1" applyAlignment="1">
      <alignment horizontal="center"/>
    </xf>
    <xf numFmtId="4" fontId="3" fillId="0" borderId="0" xfId="0" quotePrefix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quotePrefix="1" applyNumberFormat="1" applyFont="1" applyBorder="1" applyAlignment="1">
      <alignment horizontal="center"/>
    </xf>
    <xf numFmtId="4" fontId="3" fillId="0" borderId="2" xfId="0" quotePrefix="1" applyNumberFormat="1" applyFont="1" applyBorder="1" applyAlignment="1">
      <alignment horizontal="centerContinuous"/>
    </xf>
    <xf numFmtId="4" fontId="3" fillId="0" borderId="2" xfId="1" applyNumberFormat="1" applyFont="1" applyBorder="1" applyAlignment="1">
      <alignment horizontal="centerContinuous"/>
    </xf>
    <xf numFmtId="4" fontId="3" fillId="0" borderId="2" xfId="0" quotePrefix="1" applyNumberFormat="1" applyFont="1" applyBorder="1" applyAlignment="1">
      <alignment horizontal="center"/>
    </xf>
    <xf numFmtId="0" fontId="3" fillId="0" borderId="3" xfId="0" applyFont="1" applyBorder="1"/>
    <xf numFmtId="4" fontId="3" fillId="0" borderId="3" xfId="1" applyNumberFormat="1" applyFont="1" applyBorder="1"/>
    <xf numFmtId="43" fontId="2" fillId="0" borderId="0" xfId="1" applyFont="1"/>
    <xf numFmtId="43" fontId="2" fillId="0" borderId="0" xfId="1" applyFont="1" applyAlignment="1"/>
    <xf numFmtId="1" fontId="4" fillId="0" borderId="0" xfId="0" applyNumberFormat="1" applyFont="1" applyAlignment="1">
      <alignment horizontal="left"/>
    </xf>
    <xf numFmtId="1" fontId="3" fillId="0" borderId="3" xfId="1" applyNumberFormat="1" applyFont="1" applyBorder="1" applyAlignment="1">
      <alignment horizontal="center"/>
    </xf>
    <xf numFmtId="1" fontId="2" fillId="0" borderId="0" xfId="1" applyNumberFormat="1" applyFont="1" applyBorder="1" applyAlignment="1">
      <alignment horizontal="center"/>
    </xf>
    <xf numFmtId="0" fontId="3" fillId="0" borderId="0" xfId="0" applyFont="1" applyFill="1" applyAlignment="1">
      <alignment horizontal="left"/>
    </xf>
    <xf numFmtId="1" fontId="3" fillId="0" borderId="0" xfId="0" quotePrefix="1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left"/>
    </xf>
    <xf numFmtId="4" fontId="2" fillId="0" borderId="0" xfId="1" applyNumberFormat="1" applyFont="1" applyFill="1"/>
    <xf numFmtId="43" fontId="2" fillId="0" borderId="0" xfId="1" applyFont="1" applyFill="1"/>
    <xf numFmtId="4" fontId="2" fillId="0" borderId="0" xfId="0" applyNumberFormat="1" applyFont="1" applyFill="1"/>
    <xf numFmtId="0" fontId="2" fillId="0" borderId="0" xfId="0" applyFont="1" applyFill="1"/>
    <xf numFmtId="0" fontId="2" fillId="0" borderId="0" xfId="0" quotePrefix="1" applyFont="1" applyFill="1" applyAlignment="1">
      <alignment horizontal="left"/>
    </xf>
    <xf numFmtId="1" fontId="2" fillId="0" borderId="0" xfId="0" quotePrefix="1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Continuous"/>
    </xf>
    <xf numFmtId="4" fontId="3" fillId="0" borderId="0" xfId="1" quotePrefix="1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Continuous"/>
    </xf>
    <xf numFmtId="4" fontId="3" fillId="0" borderId="0" xfId="0" quotePrefix="1" applyNumberFormat="1" applyFont="1" applyFill="1" applyBorder="1" applyAlignment="1">
      <alignment horizontal="center"/>
    </xf>
    <xf numFmtId="4" fontId="2" fillId="0" borderId="0" xfId="1" applyNumberFormat="1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1" fontId="3" fillId="0" borderId="2" xfId="0" quotePrefix="1" applyNumberFormat="1" applyFont="1" applyFill="1" applyBorder="1" applyAlignment="1">
      <alignment horizontal="center"/>
    </xf>
    <xf numFmtId="4" fontId="3" fillId="0" borderId="2" xfId="1" applyNumberFormat="1" applyFont="1" applyFill="1" applyBorder="1" applyAlignment="1">
      <alignment horizontal="center"/>
    </xf>
    <xf numFmtId="4" fontId="3" fillId="0" borderId="2" xfId="0" quotePrefix="1" applyNumberFormat="1" applyFont="1" applyFill="1" applyBorder="1" applyAlignment="1">
      <alignment horizontal="centerContinuous"/>
    </xf>
    <xf numFmtId="4" fontId="3" fillId="0" borderId="2" xfId="1" applyNumberFormat="1" applyFont="1" applyFill="1" applyBorder="1" applyAlignment="1">
      <alignment horizontal="centerContinuous"/>
    </xf>
    <xf numFmtId="43" fontId="3" fillId="0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Continuous"/>
    </xf>
    <xf numFmtId="4" fontId="3" fillId="0" borderId="2" xfId="0" quotePrefix="1" applyNumberFormat="1" applyFont="1" applyFill="1" applyBorder="1" applyAlignment="1">
      <alignment horizontal="center"/>
    </xf>
    <xf numFmtId="4" fontId="2" fillId="0" borderId="2" xfId="1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3" fontId="2" fillId="0" borderId="0" xfId="1" applyFont="1" applyFill="1" applyAlignment="1"/>
    <xf numFmtId="4" fontId="2" fillId="0" borderId="0" xfId="1" applyNumberFormat="1" applyFont="1" applyFill="1" applyAlignment="1"/>
    <xf numFmtId="4" fontId="4" fillId="0" borderId="0" xfId="1" applyNumberFormat="1" applyFont="1" applyFill="1" applyAlignment="1">
      <alignment horizontal="left"/>
    </xf>
    <xf numFmtId="2" fontId="2" fillId="0" borderId="0" xfId="0" applyNumberFormat="1" applyFont="1" applyFill="1"/>
    <xf numFmtId="1" fontId="4" fillId="0" borderId="0" xfId="0" applyNumberFormat="1" applyFont="1" applyFill="1" applyAlignment="1">
      <alignment horizontal="left"/>
    </xf>
    <xf numFmtId="0" fontId="3" fillId="0" borderId="3" xfId="0" applyFont="1" applyFill="1" applyBorder="1"/>
    <xf numFmtId="4" fontId="3" fillId="0" borderId="3" xfId="1" applyNumberFormat="1" applyFont="1" applyFill="1" applyBorder="1"/>
    <xf numFmtId="43" fontId="3" fillId="0" borderId="3" xfId="1" applyFont="1" applyFill="1" applyBorder="1"/>
    <xf numFmtId="0" fontId="2" fillId="0" borderId="0" xfId="0" quotePrefix="1" applyFont="1" applyFill="1" applyBorder="1" applyAlignment="1">
      <alignment horizontal="left"/>
    </xf>
    <xf numFmtId="1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/>
    <xf numFmtId="43" fontId="2" fillId="0" borderId="0" xfId="1" applyFont="1" applyFill="1" applyBorder="1"/>
    <xf numFmtId="0" fontId="2" fillId="0" borderId="0" xfId="0" applyFont="1" applyFill="1" applyBorder="1"/>
    <xf numFmtId="1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43" fontId="3" fillId="0" borderId="0" xfId="1" applyFont="1" applyFill="1" applyBorder="1" applyAlignment="1">
      <alignment horizontal="center"/>
    </xf>
    <xf numFmtId="3" fontId="3" fillId="0" borderId="3" xfId="1" applyNumberFormat="1" applyFont="1" applyFill="1" applyBorder="1" applyAlignment="1">
      <alignment horizontal="center"/>
    </xf>
    <xf numFmtId="164" fontId="2" fillId="0" borderId="0" xfId="1" applyNumberFormat="1" applyFont="1" applyFill="1"/>
    <xf numFmtId="4" fontId="10" fillId="0" borderId="0" xfId="1" applyNumberFormat="1" applyFont="1" applyFill="1"/>
    <xf numFmtId="1" fontId="11" fillId="0" borderId="3" xfId="1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1" fontId="3" fillId="0" borderId="0" xfId="0" quotePrefix="1" applyNumberFormat="1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0" fontId="14" fillId="0" borderId="0" xfId="0" quotePrefix="1" applyFont="1" applyFill="1" applyBorder="1" applyAlignment="1">
      <alignment horizontal="left"/>
    </xf>
    <xf numFmtId="1" fontId="14" fillId="0" borderId="0" xfId="1" applyNumberFormat="1" applyFont="1" applyFill="1" applyBorder="1" applyAlignment="1">
      <alignment horizontal="center"/>
    </xf>
    <xf numFmtId="1" fontId="14" fillId="0" borderId="0" xfId="1" applyNumberFormat="1" applyFont="1" applyFill="1" applyBorder="1" applyAlignment="1">
      <alignment horizontal="left"/>
    </xf>
    <xf numFmtId="4" fontId="14" fillId="0" borderId="0" xfId="1" applyNumberFormat="1" applyFont="1" applyFill="1" applyBorder="1"/>
    <xf numFmtId="43" fontId="14" fillId="0" borderId="0" xfId="1" applyFont="1" applyFill="1" applyBorder="1"/>
    <xf numFmtId="0" fontId="19" fillId="0" borderId="1" xfId="0" applyFont="1" applyFill="1" applyBorder="1" applyAlignment="1">
      <alignment horizontal="center"/>
    </xf>
    <xf numFmtId="4" fontId="19" fillId="0" borderId="1" xfId="1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" fillId="0" borderId="0" xfId="0" applyFont="1" applyFill="1"/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left"/>
    </xf>
    <xf numFmtId="4" fontId="1" fillId="0" borderId="0" xfId="1" applyNumberFormat="1" applyFont="1" applyFill="1"/>
    <xf numFmtId="43" fontId="1" fillId="0" borderId="0" xfId="1" applyFont="1" applyFill="1"/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right"/>
    </xf>
    <xf numFmtId="43" fontId="1" fillId="0" borderId="0" xfId="1" applyNumberFormat="1" applyFont="1" applyFill="1"/>
    <xf numFmtId="43" fontId="1" fillId="0" borderId="0" xfId="1" applyFont="1" applyFill="1" applyAlignment="1">
      <alignment horizontal="right"/>
    </xf>
    <xf numFmtId="1" fontId="10" fillId="0" borderId="0" xfId="0" applyNumberFormat="1" applyFont="1" applyFill="1" applyAlignment="1">
      <alignment horizontal="left"/>
    </xf>
    <xf numFmtId="4" fontId="1" fillId="0" borderId="0" xfId="0" applyNumberFormat="1" applyFont="1" applyFill="1"/>
    <xf numFmtId="43" fontId="1" fillId="0" borderId="0" xfId="1" applyNumberFormat="1" applyFont="1" applyFill="1" applyAlignment="1">
      <alignment horizontal="right"/>
    </xf>
    <xf numFmtId="0" fontId="19" fillId="0" borderId="3" xfId="0" applyFont="1" applyFill="1" applyBorder="1"/>
    <xf numFmtId="3" fontId="19" fillId="0" borderId="3" xfId="1" applyNumberFormat="1" applyFont="1" applyFill="1" applyBorder="1" applyAlignment="1">
      <alignment horizontal="right"/>
    </xf>
    <xf numFmtId="1" fontId="10" fillId="0" borderId="3" xfId="1" applyNumberFormat="1" applyFont="1" applyFill="1" applyBorder="1" applyAlignment="1">
      <alignment horizontal="left"/>
    </xf>
    <xf numFmtId="4" fontId="19" fillId="0" borderId="3" xfId="1" applyNumberFormat="1" applyFont="1" applyFill="1" applyBorder="1"/>
    <xf numFmtId="43" fontId="19" fillId="0" borderId="3" xfId="1" applyNumberFormat="1" applyFont="1" applyFill="1" applyBorder="1"/>
    <xf numFmtId="39" fontId="19" fillId="0" borderId="3" xfId="1" applyNumberFormat="1" applyFont="1" applyFill="1" applyBorder="1"/>
    <xf numFmtId="43" fontId="19" fillId="0" borderId="3" xfId="1" applyFont="1" applyFill="1" applyBorder="1"/>
    <xf numFmtId="0" fontId="14" fillId="0" borderId="0" xfId="0" applyFont="1" applyFill="1" applyAlignment="1">
      <alignment wrapText="1"/>
    </xf>
    <xf numFmtId="4" fontId="19" fillId="0" borderId="1" xfId="1" applyNumberFormat="1" applyFont="1" applyFill="1" applyBorder="1" applyAlignment="1">
      <alignment horizontal="center" wrapText="1"/>
    </xf>
    <xf numFmtId="4" fontId="19" fillId="0" borderId="2" xfId="0" quotePrefix="1" applyNumberFormat="1" applyFont="1" applyFill="1" applyBorder="1" applyAlignment="1">
      <alignment horizontal="center" wrapText="1"/>
    </xf>
    <xf numFmtId="43" fontId="19" fillId="0" borderId="1" xfId="1" applyFont="1" applyFill="1" applyBorder="1" applyAlignment="1">
      <alignment horizontal="center" wrapText="1"/>
    </xf>
    <xf numFmtId="43" fontId="19" fillId="0" borderId="2" xfId="1" applyFont="1" applyFill="1" applyBorder="1" applyAlignment="1">
      <alignment horizontal="center" wrapText="1"/>
    </xf>
    <xf numFmtId="4" fontId="19" fillId="0" borderId="2" xfId="1" applyNumberFormat="1" applyFont="1" applyFill="1" applyBorder="1" applyAlignment="1">
      <alignment horizontal="center"/>
    </xf>
    <xf numFmtId="1" fontId="19" fillId="0" borderId="1" xfId="0" quotePrefix="1" applyNumberFormat="1" applyFont="1" applyFill="1" applyBorder="1" applyAlignment="1">
      <alignment horizontal="center" wrapText="1"/>
    </xf>
    <xf numFmtId="1" fontId="19" fillId="0" borderId="2" xfId="0" quotePrefix="1" applyNumberFormat="1" applyFont="1" applyFill="1" applyBorder="1" applyAlignment="1">
      <alignment horizontal="center" wrapText="1"/>
    </xf>
    <xf numFmtId="4" fontId="19" fillId="0" borderId="1" xfId="0" quotePrefix="1" applyNumberFormat="1" applyFont="1" applyFill="1" applyBorder="1" applyAlignment="1">
      <alignment horizontal="center" wrapText="1"/>
    </xf>
    <xf numFmtId="4" fontId="19" fillId="0" borderId="1" xfId="1" quotePrefix="1" applyNumberFormat="1" applyFont="1" applyFill="1" applyBorder="1" applyAlignment="1">
      <alignment horizontal="center" wrapText="1"/>
    </xf>
    <xf numFmtId="4" fontId="19" fillId="0" borderId="2" xfId="1" quotePrefix="1" applyNumberFormat="1" applyFont="1" applyFill="1" applyBorder="1" applyAlignment="1">
      <alignment horizontal="center" wrapText="1"/>
    </xf>
    <xf numFmtId="4" fontId="19" fillId="0" borderId="2" xfId="1" applyNumberFormat="1" applyFont="1" applyFill="1" applyBorder="1" applyAlignment="1">
      <alignment horizontal="center" wrapText="1"/>
    </xf>
    <xf numFmtId="4" fontId="3" fillId="0" borderId="0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</cellXfs>
  <cellStyles count="2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SECTOR OPERATIONS, 2000-2004</a:t>
            </a:r>
          </a:p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($ million)</a:t>
            </a:r>
          </a:p>
        </c:rich>
      </c:tx>
      <c:layout>
        <c:manualLayout>
          <c:xMode val="edge"/>
          <c:yMode val="edge"/>
          <c:x val="1.20481304752478E-2"/>
          <c:y val="0.88889144331411141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4955919328801"/>
          <c:y val="1.4619924787340099E-2"/>
          <c:w val="0.71084420985999819"/>
          <c:h val="0.63450473577055799"/>
        </c:manualLayout>
      </c:layout>
      <c:barChart>
        <c:barDir val="bar"/>
        <c:grouping val="clustered"/>
        <c:varyColors val="0"/>
        <c:ser>
          <c:idx val="0"/>
          <c:order val="0"/>
          <c:tx>
            <c:v>Total Funds Mobilized (Total Project Cost)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'T11-1205chartdetails'!$P$27:$P$31</c:f>
              <c:numCache>
                <c:formatCode>#,##0.00</c:formatCode>
                <c:ptCount val="5"/>
                <c:pt idx="0">
                  <c:v>648</c:v>
                </c:pt>
                <c:pt idx="1">
                  <c:v>1176.5999999999999</c:v>
                </c:pt>
                <c:pt idx="2">
                  <c:v>2300</c:v>
                </c:pt>
                <c:pt idx="3">
                  <c:v>2227.6999999999998</c:v>
                </c:pt>
                <c:pt idx="4">
                  <c:v>8941.6200000000008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4-2446-B369-BEE41EA577E9}"/>
            </c:ext>
          </c:extLst>
        </c:ser>
        <c:ser>
          <c:idx val="1"/>
          <c:order val="1"/>
          <c:tx>
            <c:v>Total Bank Approvals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'T11-1205chartdetails'!$O$27:$O$31</c:f>
              <c:numCache>
                <c:formatCode>#,##0.00</c:formatCode>
                <c:ptCount val="5"/>
                <c:pt idx="0">
                  <c:v>67.86</c:v>
                </c:pt>
                <c:pt idx="1">
                  <c:v>205.52600000000001</c:v>
                </c:pt>
                <c:pt idx="2">
                  <c:v>542.65</c:v>
                </c:pt>
                <c:pt idx="3">
                  <c:v>666.9</c:v>
                </c:pt>
                <c:pt idx="4">
                  <c:v>821.51700000000005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D4-2446-B369-BEE41EA57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50048"/>
        <c:axId val="153736256"/>
      </c:barChart>
      <c:catAx>
        <c:axId val="152450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736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736256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one"/>
        <c:crossAx val="152450048"/>
        <c:crosses val="autoZero"/>
        <c:crossBetween val="between"/>
      </c:valAx>
      <c:spPr>
        <a:solidFill>
          <a:srgbClr val="00808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885136438177797"/>
          <c:y val="0.74103585657370563"/>
          <c:w val="0.76190371982268701"/>
          <c:h val="9.9601593625498031E-2"/>
        </c:manualLayout>
      </c:layout>
      <c:overlay val="0"/>
      <c:spPr>
        <a:solidFill>
          <a:srgbClr val="008080"/>
        </a:solidFill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8080"/>
    </a:solidFill>
    <a:ln w="9525">
      <a:noFill/>
    </a:ln>
  </c:spPr>
  <c:txPr>
    <a:bodyPr/>
    <a:lstStyle/>
    <a:p>
      <a:pPr>
        <a:defRPr sz="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519722</xdr:colOff>
      <xdr:row>0</xdr:row>
      <xdr:rowOff>0</xdr:rowOff>
    </xdr:from>
    <xdr:to>
      <xdr:col>9</xdr:col>
      <xdr:colOff>7172</xdr:colOff>
      <xdr:row>4</xdr:row>
      <xdr:rowOff>95099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9722" y="0"/>
          <a:ext cx="3334085" cy="68125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www.adb.org/ar2017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nonsovereign, private sector</a:t>
          </a:r>
        </a:p>
      </xdr:txBody>
    </xdr:sp>
    <xdr:clientData/>
  </xdr:twoCellAnchor>
  <xdr:twoCellAnchor editAs="oneCell">
    <xdr:from>
      <xdr:col>0</xdr:col>
      <xdr:colOff>51288</xdr:colOff>
      <xdr:row>0</xdr:row>
      <xdr:rowOff>36634</xdr:rowOff>
    </xdr:from>
    <xdr:to>
      <xdr:col>0</xdr:col>
      <xdr:colOff>439908</xdr:colOff>
      <xdr:row>3</xdr:row>
      <xdr:rowOff>99939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8" y="36634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42</xdr:row>
      <xdr:rowOff>127000</xdr:rowOff>
    </xdr:from>
    <xdr:to>
      <xdr:col>11</xdr:col>
      <xdr:colOff>190500</xdr:colOff>
      <xdr:row>65</xdr:row>
      <xdr:rowOff>101600</xdr:rowOff>
    </xdr:to>
    <xdr:graphicFrame macro="">
      <xdr:nvGraphicFramePr>
        <xdr:cNvPr id="2132" name="Chart 5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O28"/>
  <sheetViews>
    <sheetView tabSelected="1" view="pageLayout" zoomScale="130" zoomScalePageLayoutView="130" workbookViewId="0">
      <selection activeCell="B8" sqref="A8:B9"/>
    </sheetView>
  </sheetViews>
  <sheetFormatPr baseColWidth="10" defaultColWidth="9.1640625" defaultRowHeight="11.25" customHeight="1"/>
  <cols>
    <col min="1" max="1" width="9.5" style="45" customWidth="1"/>
    <col min="2" max="2" width="5.83203125" style="71" customWidth="1"/>
    <col min="3" max="3" width="3" style="96" customWidth="1"/>
    <col min="4" max="4" width="9" style="44" customWidth="1"/>
    <col min="5" max="5" width="2.83203125" style="44" customWidth="1"/>
    <col min="6" max="6" width="8.5" style="44" customWidth="1"/>
    <col min="7" max="7" width="2.83203125" style="44" customWidth="1"/>
    <col min="8" max="8" width="10.6640625" style="42" customWidth="1"/>
    <col min="9" max="9" width="2.5" style="42" customWidth="1"/>
    <col min="10" max="10" width="10.33203125" style="42" customWidth="1"/>
    <col min="11" max="11" width="3.1640625" style="42" customWidth="1"/>
    <col min="12" max="12" width="9.83203125" style="42" customWidth="1"/>
    <col min="13" max="13" width="2.83203125" style="42" customWidth="1"/>
    <col min="14" max="14" width="11.5" style="43" customWidth="1"/>
    <col min="15" max="15" width="2.1640625" style="43" customWidth="1"/>
    <col min="16" max="16384" width="9.1640625" style="45"/>
  </cols>
  <sheetData>
    <row r="8" spans="1:15" ht="19" customHeight="1">
      <c r="A8" s="93" t="s">
        <v>64</v>
      </c>
      <c r="B8" s="40"/>
      <c r="C8" s="95"/>
      <c r="D8" s="41"/>
      <c r="E8" s="41"/>
      <c r="F8" s="41"/>
      <c r="G8" s="41"/>
    </row>
    <row r="9" spans="1:15" ht="15" customHeight="1">
      <c r="A9" s="94" t="s">
        <v>0</v>
      </c>
      <c r="B9" s="40"/>
      <c r="C9" s="95"/>
      <c r="D9" s="41"/>
      <c r="E9" s="41"/>
      <c r="F9" s="41"/>
      <c r="G9" s="41"/>
    </row>
    <row r="11" spans="1:15" ht="11.25" customHeight="1">
      <c r="A11" s="102"/>
      <c r="B11" s="130" t="s">
        <v>2</v>
      </c>
      <c r="C11" s="130"/>
      <c r="D11" s="103"/>
      <c r="E11" s="103"/>
      <c r="F11" s="132" t="s">
        <v>3</v>
      </c>
      <c r="G11" s="132"/>
      <c r="H11" s="133" t="s">
        <v>60</v>
      </c>
      <c r="I11" s="133"/>
      <c r="J11" s="125" t="s">
        <v>61</v>
      </c>
      <c r="K11" s="125"/>
      <c r="L11" s="125" t="s">
        <v>62</v>
      </c>
      <c r="M11" s="125"/>
      <c r="N11" s="127" t="s">
        <v>60</v>
      </c>
      <c r="O11" s="127"/>
    </row>
    <row r="12" spans="1:15" ht="13">
      <c r="A12" s="104" t="s">
        <v>4</v>
      </c>
      <c r="B12" s="131" t="s">
        <v>36</v>
      </c>
      <c r="C12" s="131"/>
      <c r="D12" s="129" t="s">
        <v>51</v>
      </c>
      <c r="E12" s="129"/>
      <c r="F12" s="126" t="s">
        <v>65</v>
      </c>
      <c r="G12" s="126"/>
      <c r="H12" s="134" t="s">
        <v>6</v>
      </c>
      <c r="I12" s="134"/>
      <c r="J12" s="135" t="s">
        <v>16</v>
      </c>
      <c r="K12" s="135"/>
      <c r="L12" s="126" t="s">
        <v>16</v>
      </c>
      <c r="M12" s="126"/>
      <c r="N12" s="128" t="s">
        <v>66</v>
      </c>
      <c r="O12" s="128"/>
    </row>
    <row r="13" spans="1:15" ht="6" customHeight="1">
      <c r="A13" s="105"/>
      <c r="B13" s="106"/>
      <c r="C13" s="107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9"/>
      <c r="O13" s="109"/>
    </row>
    <row r="14" spans="1:15" ht="12" customHeight="1">
      <c r="A14" s="110">
        <v>2007</v>
      </c>
      <c r="B14" s="111">
        <v>18</v>
      </c>
      <c r="C14" s="114"/>
      <c r="D14" s="108">
        <v>560.84910400000001</v>
      </c>
      <c r="E14" s="108"/>
      <c r="F14" s="108">
        <v>92.419809999999998</v>
      </c>
      <c r="G14" s="105"/>
      <c r="H14" s="109">
        <v>653.268914</v>
      </c>
      <c r="I14" s="109"/>
      <c r="J14" s="113">
        <v>105.860263</v>
      </c>
      <c r="K14" s="109"/>
      <c r="L14" s="109">
        <v>0</v>
      </c>
      <c r="M14" s="109"/>
      <c r="N14" s="109">
        <v>759.12917700000003</v>
      </c>
      <c r="O14" s="109"/>
    </row>
    <row r="15" spans="1:15" ht="12" customHeight="1">
      <c r="A15" s="110">
        <v>2008</v>
      </c>
      <c r="B15" s="111">
        <v>14</v>
      </c>
      <c r="C15" s="114"/>
      <c r="D15" s="108">
        <v>1075.608514</v>
      </c>
      <c r="E15" s="108"/>
      <c r="F15" s="108">
        <v>31.25</v>
      </c>
      <c r="G15" s="105"/>
      <c r="H15" s="109">
        <v>1106.858514</v>
      </c>
      <c r="I15" s="109"/>
      <c r="J15" s="113">
        <v>56.5</v>
      </c>
      <c r="K15" s="109"/>
      <c r="L15" s="109">
        <v>0</v>
      </c>
      <c r="M15" s="109"/>
      <c r="N15" s="109">
        <v>1163.358514</v>
      </c>
      <c r="O15" s="109"/>
    </row>
    <row r="16" spans="1:15" ht="12" customHeight="1">
      <c r="A16" s="110">
        <v>2009</v>
      </c>
      <c r="B16" s="111">
        <v>8</v>
      </c>
      <c r="C16" s="114"/>
      <c r="D16" s="108">
        <v>448.25018699999998</v>
      </c>
      <c r="E16" s="108"/>
      <c r="F16" s="108">
        <v>128.926501</v>
      </c>
      <c r="G16" s="105"/>
      <c r="H16" s="109">
        <v>577.17668800000001</v>
      </c>
      <c r="I16" s="109"/>
      <c r="J16" s="113">
        <v>0</v>
      </c>
      <c r="K16" s="109"/>
      <c r="L16" s="109">
        <v>0</v>
      </c>
      <c r="M16" s="109"/>
      <c r="N16" s="109">
        <v>577.17668800000001</v>
      </c>
      <c r="O16" s="109"/>
    </row>
    <row r="17" spans="1:15" ht="12" customHeight="1">
      <c r="A17" s="110">
        <v>2010</v>
      </c>
      <c r="B17" s="111">
        <v>12</v>
      </c>
      <c r="C17" s="114"/>
      <c r="D17" s="108">
        <v>547.26413000000002</v>
      </c>
      <c r="E17" s="108"/>
      <c r="F17" s="108">
        <v>268.85290199999997</v>
      </c>
      <c r="G17" s="105"/>
      <c r="H17" s="109">
        <v>816.11703199999999</v>
      </c>
      <c r="I17" s="109"/>
      <c r="J17" s="113">
        <v>0</v>
      </c>
      <c r="K17" s="109"/>
      <c r="L17" s="109">
        <v>0</v>
      </c>
      <c r="M17" s="109"/>
      <c r="N17" s="109">
        <v>816.11703199999999</v>
      </c>
      <c r="O17" s="109"/>
    </row>
    <row r="18" spans="1:15" ht="12" customHeight="1">
      <c r="A18" s="110">
        <v>2011</v>
      </c>
      <c r="B18" s="111">
        <v>15</v>
      </c>
      <c r="C18" s="114"/>
      <c r="D18" s="108">
        <v>862.57651799999996</v>
      </c>
      <c r="E18" s="108"/>
      <c r="F18" s="108">
        <v>232.87891200000001</v>
      </c>
      <c r="G18" s="105"/>
      <c r="H18" s="109">
        <v>1095.45543</v>
      </c>
      <c r="I18" s="109"/>
      <c r="J18" s="113">
        <v>0</v>
      </c>
      <c r="K18" s="109"/>
      <c r="L18" s="109">
        <v>0</v>
      </c>
      <c r="M18" s="109"/>
      <c r="N18" s="109">
        <v>1095.45543</v>
      </c>
      <c r="O18" s="109"/>
    </row>
    <row r="19" spans="1:15" ht="12" customHeight="1">
      <c r="A19" s="110">
        <v>2012</v>
      </c>
      <c r="B19" s="111">
        <v>20</v>
      </c>
      <c r="C19" s="114"/>
      <c r="D19" s="108">
        <v>1429.479828</v>
      </c>
      <c r="E19" s="108"/>
      <c r="F19" s="108">
        <v>74.714112</v>
      </c>
      <c r="G19" s="105"/>
      <c r="H19" s="109">
        <v>1504.1939400000001</v>
      </c>
      <c r="I19" s="109"/>
      <c r="J19" s="113">
        <v>66.61</v>
      </c>
      <c r="K19" s="109"/>
      <c r="L19" s="109">
        <v>217.95</v>
      </c>
      <c r="M19" s="109"/>
      <c r="N19" s="109">
        <v>1788.7542050000002</v>
      </c>
      <c r="O19" s="109"/>
    </row>
    <row r="20" spans="1:15" ht="12" customHeight="1">
      <c r="A20" s="110">
        <v>2013</v>
      </c>
      <c r="B20" s="111">
        <v>14</v>
      </c>
      <c r="C20" s="114"/>
      <c r="D20" s="108">
        <v>620.77966400000003</v>
      </c>
      <c r="E20" s="91"/>
      <c r="F20" s="108">
        <v>47.664897000000003</v>
      </c>
      <c r="G20" s="105"/>
      <c r="H20" s="109">
        <v>668.44456100000002</v>
      </c>
      <c r="I20" s="109"/>
      <c r="J20" s="113">
        <v>0</v>
      </c>
      <c r="K20" s="109"/>
      <c r="L20" s="109">
        <v>0</v>
      </c>
      <c r="M20" s="109"/>
      <c r="N20" s="109">
        <v>668.44456100000002</v>
      </c>
      <c r="O20" s="109"/>
    </row>
    <row r="21" spans="1:15" ht="12" customHeight="1">
      <c r="A21" s="110">
        <v>2014</v>
      </c>
      <c r="B21" s="111">
        <v>22</v>
      </c>
      <c r="C21" s="107"/>
      <c r="D21" s="115">
        <v>1589.797949</v>
      </c>
      <c r="E21" s="115"/>
      <c r="F21" s="115">
        <v>299.42875099999998</v>
      </c>
      <c r="G21" s="115"/>
      <c r="H21" s="109">
        <v>1889.2266999999999</v>
      </c>
      <c r="I21" s="109"/>
      <c r="J21" s="116"/>
      <c r="K21" s="108"/>
      <c r="L21" s="109">
        <v>0</v>
      </c>
      <c r="M21" s="108"/>
      <c r="N21" s="109">
        <v>1889.2266999999999</v>
      </c>
      <c r="O21" s="109"/>
    </row>
    <row r="22" spans="1:15" ht="12" customHeight="1">
      <c r="A22" s="110">
        <v>2015</v>
      </c>
      <c r="B22" s="111">
        <v>23</v>
      </c>
      <c r="C22" s="107"/>
      <c r="D22" s="115">
        <v>1468.2435359999999</v>
      </c>
      <c r="E22" s="115"/>
      <c r="F22" s="115">
        <v>152.466769</v>
      </c>
      <c r="G22" s="115"/>
      <c r="H22" s="109">
        <v>1620.7103050000001</v>
      </c>
      <c r="I22" s="109"/>
      <c r="J22" s="113">
        <v>12.335495</v>
      </c>
      <c r="K22" s="108"/>
      <c r="L22" s="112">
        <v>0</v>
      </c>
      <c r="M22" s="108"/>
      <c r="N22" s="109">
        <v>1633.0458000000001</v>
      </c>
      <c r="O22" s="109"/>
    </row>
    <row r="23" spans="1:15" ht="12" customHeight="1">
      <c r="A23" s="110">
        <v>2016</v>
      </c>
      <c r="B23" s="111">
        <v>17</v>
      </c>
      <c r="C23" s="107"/>
      <c r="D23" s="115">
        <v>1486.4402070000001</v>
      </c>
      <c r="E23" s="115"/>
      <c r="F23" s="115">
        <v>95.9</v>
      </c>
      <c r="G23" s="115"/>
      <c r="H23" s="109">
        <v>1582.3402070000002</v>
      </c>
      <c r="I23" s="109"/>
      <c r="J23" s="113">
        <v>211.66758100000001</v>
      </c>
      <c r="K23" s="108"/>
      <c r="L23" s="112">
        <v>0</v>
      </c>
      <c r="M23" s="108"/>
      <c r="N23" s="109">
        <v>1794.0077880000001</v>
      </c>
      <c r="O23" s="109"/>
    </row>
    <row r="24" spans="1:15" ht="12" customHeight="1">
      <c r="A24" s="110">
        <v>2017</v>
      </c>
      <c r="B24" s="111">
        <v>27</v>
      </c>
      <c r="C24" s="107"/>
      <c r="D24" s="115">
        <v>1999.6212829999999</v>
      </c>
      <c r="E24" s="115"/>
      <c r="F24" s="115">
        <v>287.09475500000002</v>
      </c>
      <c r="G24" s="115"/>
      <c r="H24" s="109">
        <v>2286.716038</v>
      </c>
      <c r="I24" s="109"/>
      <c r="J24" s="113">
        <v>0</v>
      </c>
      <c r="K24" s="108"/>
      <c r="L24" s="112">
        <v>0</v>
      </c>
      <c r="M24" s="108"/>
      <c r="N24" s="109">
        <v>2286.716038</v>
      </c>
      <c r="O24" s="109"/>
    </row>
    <row r="25" spans="1:15" ht="3.75" customHeight="1">
      <c r="A25" s="110"/>
      <c r="B25" s="111"/>
      <c r="C25" s="107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9"/>
      <c r="O25" s="109"/>
    </row>
    <row r="26" spans="1:15" ht="14.25" customHeight="1">
      <c r="A26" s="117" t="s">
        <v>17</v>
      </c>
      <c r="B26" s="118">
        <f>SUM(B14:B25)</f>
        <v>190</v>
      </c>
      <c r="C26" s="119"/>
      <c r="D26" s="120">
        <f>SUM(D14:D24)</f>
        <v>12088.910919999998</v>
      </c>
      <c r="E26" s="120"/>
      <c r="F26" s="120">
        <f>SUM(F14:F25)</f>
        <v>1711.597409</v>
      </c>
      <c r="G26" s="120"/>
      <c r="H26" s="121">
        <f>F26+D26-0.01</f>
        <v>13800.498328999998</v>
      </c>
      <c r="I26" s="120"/>
      <c r="J26" s="121">
        <f>SUM(J14:J25)</f>
        <v>452.97333900000001</v>
      </c>
      <c r="K26" s="120"/>
      <c r="L26" s="122">
        <f>SUM(L14:L25)</f>
        <v>217.95</v>
      </c>
      <c r="M26" s="120"/>
      <c r="N26" s="123">
        <f>SUM(N14:N25)</f>
        <v>14471.431933000002</v>
      </c>
      <c r="O26" s="123"/>
    </row>
    <row r="27" spans="1:15" ht="11.25" customHeight="1">
      <c r="A27" s="97" t="s">
        <v>63</v>
      </c>
      <c r="B27" s="98"/>
      <c r="C27" s="99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1"/>
      <c r="O27" s="101"/>
    </row>
    <row r="28" spans="1:15" ht="17.25" customHeight="1">
      <c r="A28" s="124" t="s">
        <v>67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</row>
  </sheetData>
  <mergeCells count="14">
    <mergeCell ref="A28:O28"/>
    <mergeCell ref="L11:M11"/>
    <mergeCell ref="L12:M12"/>
    <mergeCell ref="N11:O11"/>
    <mergeCell ref="N12:O12"/>
    <mergeCell ref="D12:E12"/>
    <mergeCell ref="B11:C11"/>
    <mergeCell ref="B12:C12"/>
    <mergeCell ref="F11:G11"/>
    <mergeCell ref="F12:G12"/>
    <mergeCell ref="H11:I11"/>
    <mergeCell ref="H12:I12"/>
    <mergeCell ref="J11:K11"/>
    <mergeCell ref="J12:K12"/>
  </mergeCells>
  <phoneticPr fontId="0" type="noConversion"/>
  <printOptions horizontalCentered="1"/>
  <pageMargins left="0.5" right="0.5" top="0.5" bottom="0.5" header="0.51" footer="0.5"/>
  <pageSetup scale="84" orientation="portrait" horizontalDpi="300" verticalDpi="300" r:id="rId1"/>
  <drawing r:id="rId2"/>
  <extLst>
    <ext xmlns:mx="http://schemas.microsoft.com/office/mac/excel/2008/main" uri="{64002731-A6B0-56B0-2670-7721B7C09600}">
      <mx:PLV Mode="1" OnePage="0" WScale="84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topLeftCell="A30" workbookViewId="0">
      <selection activeCell="N48" sqref="N48"/>
    </sheetView>
  </sheetViews>
  <sheetFormatPr baseColWidth="10" defaultColWidth="9.1640625" defaultRowHeight="11.25" customHeight="1"/>
  <cols>
    <col min="1" max="1" width="7.5" style="1" customWidth="1"/>
    <col min="2" max="2" width="8.33203125" style="8" hidden="1" customWidth="1"/>
    <col min="3" max="3" width="1.33203125" style="8" hidden="1" customWidth="1"/>
    <col min="4" max="4" width="7.33203125" style="11" bestFit="1" customWidth="1"/>
    <col min="5" max="5" width="2.33203125" style="11" customWidth="1"/>
    <col min="6" max="6" width="9.1640625" style="11"/>
    <col min="7" max="7" width="2.5" style="11" customWidth="1"/>
    <col min="8" max="8" width="7.1640625" style="10" customWidth="1"/>
    <col min="9" max="9" width="11.1640625" style="10" customWidth="1"/>
    <col min="10" max="10" width="7.6640625" style="10" customWidth="1"/>
    <col min="11" max="12" width="9.1640625" style="10" bestFit="1"/>
    <col min="13" max="13" width="6.83203125" style="10" bestFit="1" customWidth="1"/>
    <col min="14" max="14" width="6.83203125" style="10" customWidth="1"/>
    <col min="15" max="15" width="9" style="11" customWidth="1"/>
    <col min="16" max="16" width="9" style="10" bestFit="1" customWidth="1"/>
    <col min="17" max="16384" width="9.1640625" style="1"/>
  </cols>
  <sheetData>
    <row r="1" spans="1:16" ht="11.25" customHeight="1">
      <c r="A1" s="2" t="s">
        <v>26</v>
      </c>
      <c r="B1" s="6"/>
      <c r="C1" s="6"/>
      <c r="D1" s="9"/>
      <c r="E1" s="9"/>
      <c r="F1" s="9"/>
      <c r="G1" s="9"/>
    </row>
    <row r="2" spans="1:16" ht="11.25" customHeight="1">
      <c r="A2" s="2" t="s">
        <v>32</v>
      </c>
      <c r="B2" s="6"/>
      <c r="C2" s="6"/>
      <c r="D2" s="9"/>
      <c r="E2" s="9"/>
      <c r="F2" s="9"/>
      <c r="G2" s="9"/>
    </row>
    <row r="3" spans="1:16" ht="11.25" customHeight="1">
      <c r="A3" s="3" t="s">
        <v>0</v>
      </c>
      <c r="B3" s="7"/>
      <c r="C3" s="7"/>
    </row>
    <row r="5" spans="1:16" ht="11.25" customHeight="1">
      <c r="A5" s="18"/>
      <c r="B5" s="19"/>
      <c r="C5" s="19"/>
      <c r="D5" s="12"/>
      <c r="E5" s="12"/>
      <c r="F5" s="12"/>
      <c r="G5" s="12"/>
      <c r="H5" s="12" t="s">
        <v>1</v>
      </c>
      <c r="I5" s="137" t="s">
        <v>23</v>
      </c>
      <c r="J5" s="137"/>
      <c r="K5" s="12" t="s">
        <v>21</v>
      </c>
      <c r="L5" s="12" t="s">
        <v>14</v>
      </c>
      <c r="M5" s="12" t="s">
        <v>27</v>
      </c>
      <c r="N5" s="12"/>
      <c r="O5" s="20" t="s">
        <v>1</v>
      </c>
      <c r="P5" s="12" t="s">
        <v>11</v>
      </c>
    </row>
    <row r="6" spans="1:16" ht="11.25" customHeight="1">
      <c r="A6" s="21"/>
      <c r="B6" s="22" t="s">
        <v>2</v>
      </c>
      <c r="C6" s="22"/>
      <c r="D6" s="23"/>
      <c r="E6" s="23"/>
      <c r="F6" s="24" t="s">
        <v>3</v>
      </c>
      <c r="G6" s="24"/>
      <c r="H6" s="25" t="s">
        <v>9</v>
      </c>
      <c r="I6" s="136" t="s">
        <v>24</v>
      </c>
      <c r="J6" s="136"/>
      <c r="K6" s="23" t="s">
        <v>22</v>
      </c>
      <c r="L6" s="23" t="s">
        <v>15</v>
      </c>
      <c r="M6" s="24" t="s">
        <v>28</v>
      </c>
      <c r="N6" s="24"/>
      <c r="O6" s="26" t="s">
        <v>9</v>
      </c>
      <c r="P6" s="13" t="s">
        <v>12</v>
      </c>
    </row>
    <row r="7" spans="1:16" ht="11.25" customHeight="1">
      <c r="A7" s="27" t="s">
        <v>4</v>
      </c>
      <c r="B7" s="28" t="s">
        <v>18</v>
      </c>
      <c r="C7" s="28"/>
      <c r="D7" s="14" t="s">
        <v>5</v>
      </c>
      <c r="E7" s="14"/>
      <c r="F7" s="29" t="s">
        <v>19</v>
      </c>
      <c r="G7" s="29"/>
      <c r="H7" s="14" t="s">
        <v>6</v>
      </c>
      <c r="I7" s="30" t="s">
        <v>25</v>
      </c>
      <c r="J7" s="30"/>
      <c r="K7" s="14" t="s">
        <v>16</v>
      </c>
      <c r="L7" s="14" t="s">
        <v>16</v>
      </c>
      <c r="M7" s="30" t="s">
        <v>29</v>
      </c>
      <c r="N7" s="30"/>
      <c r="O7" s="31" t="s">
        <v>20</v>
      </c>
      <c r="P7" s="14" t="s">
        <v>13</v>
      </c>
    </row>
    <row r="8" spans="1:16" ht="11.25" customHeight="1">
      <c r="D8" s="10"/>
      <c r="E8" s="10"/>
      <c r="F8" s="10"/>
      <c r="G8" s="10"/>
    </row>
    <row r="9" spans="1:16" ht="11.25" hidden="1" customHeight="1">
      <c r="A9" s="4">
        <v>1983</v>
      </c>
      <c r="B9" s="8">
        <v>2</v>
      </c>
      <c r="D9" s="34">
        <v>0</v>
      </c>
      <c r="E9" s="10"/>
      <c r="F9" s="10">
        <v>2.96</v>
      </c>
      <c r="G9" s="10"/>
      <c r="H9" s="34">
        <f t="shared" ref="H9:H31" si="0">D9+F9</f>
        <v>2.96</v>
      </c>
      <c r="I9" s="34">
        <v>0</v>
      </c>
      <c r="K9" s="34">
        <v>0</v>
      </c>
      <c r="L9" s="34">
        <v>0</v>
      </c>
      <c r="M9" s="34">
        <v>0</v>
      </c>
      <c r="N9" s="34"/>
      <c r="O9" s="10">
        <f t="shared" ref="O9:O31" si="1">H9+I9+L9+K9+M9</f>
        <v>2.96</v>
      </c>
      <c r="P9" s="10">
        <v>36</v>
      </c>
    </row>
    <row r="10" spans="1:16" ht="11.25" hidden="1" customHeight="1">
      <c r="A10" s="4">
        <v>1984</v>
      </c>
      <c r="B10" s="8">
        <v>1</v>
      </c>
      <c r="D10" s="34">
        <v>0</v>
      </c>
      <c r="E10" s="10"/>
      <c r="F10" s="10">
        <v>0.42</v>
      </c>
      <c r="G10" s="10"/>
      <c r="H10" s="34">
        <f t="shared" si="0"/>
        <v>0.42</v>
      </c>
      <c r="I10" s="34">
        <v>0</v>
      </c>
      <c r="K10" s="34">
        <v>0</v>
      </c>
      <c r="L10" s="34">
        <v>0</v>
      </c>
      <c r="M10" s="34">
        <v>0</v>
      </c>
      <c r="N10" s="34"/>
      <c r="O10" s="10">
        <f t="shared" si="1"/>
        <v>0.42</v>
      </c>
      <c r="P10" s="10">
        <v>2.8</v>
      </c>
    </row>
    <row r="11" spans="1:16" ht="11.25" hidden="1" customHeight="1">
      <c r="A11" s="4">
        <v>1985</v>
      </c>
      <c r="B11" s="8">
        <v>5</v>
      </c>
      <c r="D11" s="34">
        <v>0</v>
      </c>
      <c r="E11" s="10"/>
      <c r="F11" s="10">
        <v>3.4</v>
      </c>
      <c r="G11" s="10"/>
      <c r="H11" s="34">
        <f t="shared" si="0"/>
        <v>3.4</v>
      </c>
      <c r="I11" s="34">
        <v>0</v>
      </c>
      <c r="K11" s="34">
        <v>0</v>
      </c>
      <c r="L11" s="34">
        <v>0</v>
      </c>
      <c r="M11" s="34">
        <v>0</v>
      </c>
      <c r="N11" s="34"/>
      <c r="O11" s="10">
        <f t="shared" si="1"/>
        <v>3.4</v>
      </c>
      <c r="P11" s="10">
        <v>39.68</v>
      </c>
    </row>
    <row r="12" spans="1:16" ht="11.25" hidden="1" customHeight="1">
      <c r="A12" s="4">
        <v>1986</v>
      </c>
      <c r="B12" s="8">
        <v>5</v>
      </c>
      <c r="D12" s="34">
        <v>6.46</v>
      </c>
      <c r="E12" s="10"/>
      <c r="F12" s="10">
        <v>6.0129999999999999</v>
      </c>
      <c r="G12" s="10"/>
      <c r="H12" s="34">
        <f t="shared" si="0"/>
        <v>12.472999999999999</v>
      </c>
      <c r="I12" s="34">
        <v>0</v>
      </c>
      <c r="K12" s="34">
        <v>0</v>
      </c>
      <c r="L12" s="34">
        <v>0</v>
      </c>
      <c r="M12" s="34">
        <v>0</v>
      </c>
      <c r="N12" s="34"/>
      <c r="O12" s="10">
        <f t="shared" si="1"/>
        <v>12.472999999999999</v>
      </c>
      <c r="P12" s="10">
        <v>42.716999999999999</v>
      </c>
    </row>
    <row r="13" spans="1:16" ht="11.25" hidden="1" customHeight="1">
      <c r="A13" s="4">
        <v>1987</v>
      </c>
      <c r="B13" s="8">
        <v>8</v>
      </c>
      <c r="D13" s="34">
        <f>18+2.5</f>
        <v>20.5</v>
      </c>
      <c r="E13" s="10"/>
      <c r="F13" s="10">
        <f>7+15.605+5</f>
        <v>27.605</v>
      </c>
      <c r="G13" s="10"/>
      <c r="H13" s="34">
        <f t="shared" si="0"/>
        <v>48.105000000000004</v>
      </c>
      <c r="I13" s="35">
        <v>5</v>
      </c>
      <c r="J13" s="15"/>
      <c r="K13" s="34">
        <v>0</v>
      </c>
      <c r="L13" s="34">
        <v>0</v>
      </c>
      <c r="M13" s="34">
        <v>0</v>
      </c>
      <c r="N13" s="34"/>
      <c r="O13" s="10">
        <f t="shared" si="1"/>
        <v>53.105000000000004</v>
      </c>
      <c r="P13" s="10">
        <v>524.34</v>
      </c>
    </row>
    <row r="14" spans="1:16" ht="11.25" hidden="1" customHeight="1">
      <c r="A14" s="4">
        <v>1988</v>
      </c>
      <c r="B14" s="8">
        <v>12</v>
      </c>
      <c r="D14" s="34">
        <v>58</v>
      </c>
      <c r="E14" s="10"/>
      <c r="F14" s="10">
        <f>8+7.67+20</f>
        <v>35.67</v>
      </c>
      <c r="G14" s="10"/>
      <c r="H14" s="34">
        <f t="shared" si="0"/>
        <v>93.67</v>
      </c>
      <c r="I14" s="34">
        <v>0</v>
      </c>
      <c r="K14" s="34">
        <v>0</v>
      </c>
      <c r="L14" s="34">
        <v>0</v>
      </c>
      <c r="M14" s="34">
        <v>0</v>
      </c>
      <c r="N14" s="34"/>
      <c r="O14" s="10">
        <f t="shared" si="1"/>
        <v>93.67</v>
      </c>
      <c r="P14" s="10">
        <v>524.24</v>
      </c>
    </row>
    <row r="15" spans="1:16" ht="11.25" hidden="1" customHeight="1">
      <c r="A15" s="4">
        <v>1989</v>
      </c>
      <c r="B15" s="8">
        <v>16</v>
      </c>
      <c r="D15" s="34">
        <f>89.7+6</f>
        <v>95.7</v>
      </c>
      <c r="E15" s="10"/>
      <c r="F15" s="10">
        <f>2+54.39+11.2</f>
        <v>67.59</v>
      </c>
      <c r="G15" s="10"/>
      <c r="H15" s="34">
        <f t="shared" si="0"/>
        <v>163.29000000000002</v>
      </c>
      <c r="I15" s="34">
        <v>51.1</v>
      </c>
      <c r="K15" s="34">
        <v>0</v>
      </c>
      <c r="L15" s="34">
        <v>0</v>
      </c>
      <c r="M15" s="34">
        <v>0</v>
      </c>
      <c r="N15" s="34"/>
      <c r="O15" s="10">
        <f t="shared" si="1"/>
        <v>214.39000000000001</v>
      </c>
      <c r="P15" s="10">
        <v>1178.55</v>
      </c>
    </row>
    <row r="16" spans="1:16" ht="11.25" hidden="1" customHeight="1">
      <c r="A16" s="4">
        <v>1990</v>
      </c>
      <c r="B16" s="8">
        <v>17</v>
      </c>
      <c r="D16" s="34">
        <f>72.85+6</f>
        <v>78.849999999999994</v>
      </c>
      <c r="E16" s="10"/>
      <c r="F16" s="10">
        <f>8+23.623+4.32</f>
        <v>35.942999999999998</v>
      </c>
      <c r="G16" s="10"/>
      <c r="H16" s="34">
        <f t="shared" si="0"/>
        <v>114.79299999999999</v>
      </c>
      <c r="I16" s="34">
        <v>24</v>
      </c>
      <c r="K16" s="34">
        <v>0</v>
      </c>
      <c r="L16" s="34">
        <v>0</v>
      </c>
      <c r="M16" s="34">
        <v>0</v>
      </c>
      <c r="N16" s="34"/>
      <c r="O16" s="10">
        <f t="shared" si="1"/>
        <v>138.79300000000001</v>
      </c>
      <c r="P16" s="10">
        <v>2051.63</v>
      </c>
    </row>
    <row r="17" spans="1:16" ht="11.25" hidden="1" customHeight="1">
      <c r="A17" s="4">
        <v>1991</v>
      </c>
      <c r="B17" s="8">
        <v>10</v>
      </c>
      <c r="D17" s="34">
        <f>156.8</f>
        <v>156.80000000000001</v>
      </c>
      <c r="E17" s="10"/>
      <c r="F17" s="10">
        <f>20.518</f>
        <v>20.518000000000001</v>
      </c>
      <c r="G17" s="10"/>
      <c r="H17" s="34">
        <f t="shared" si="0"/>
        <v>177.31800000000001</v>
      </c>
      <c r="I17" s="34">
        <v>0</v>
      </c>
      <c r="K17" s="34">
        <v>0</v>
      </c>
      <c r="L17" s="34">
        <v>0</v>
      </c>
      <c r="M17" s="34">
        <v>0</v>
      </c>
      <c r="N17" s="34"/>
      <c r="O17" s="10">
        <f t="shared" si="1"/>
        <v>177.31800000000001</v>
      </c>
      <c r="P17" s="10">
        <v>1330.07</v>
      </c>
    </row>
    <row r="18" spans="1:16" ht="11.25" hidden="1" customHeight="1">
      <c r="A18" s="4">
        <v>1992</v>
      </c>
      <c r="B18" s="8">
        <v>4</v>
      </c>
      <c r="D18" s="34">
        <v>50</v>
      </c>
      <c r="E18" s="10"/>
      <c r="F18" s="10">
        <v>5.42</v>
      </c>
      <c r="G18" s="10"/>
      <c r="H18" s="34">
        <f t="shared" si="0"/>
        <v>55.42</v>
      </c>
      <c r="I18" s="34">
        <v>81.5</v>
      </c>
      <c r="K18" s="34">
        <v>0</v>
      </c>
      <c r="L18" s="34">
        <v>0</v>
      </c>
      <c r="M18" s="34">
        <v>0</v>
      </c>
      <c r="N18" s="34"/>
      <c r="O18" s="10">
        <f t="shared" si="1"/>
        <v>136.92000000000002</v>
      </c>
      <c r="P18" s="10">
        <v>409.39</v>
      </c>
    </row>
    <row r="19" spans="1:16" ht="11.25" hidden="1" customHeight="1">
      <c r="A19" s="4">
        <v>1993</v>
      </c>
      <c r="B19" s="8">
        <v>9</v>
      </c>
      <c r="D19" s="34">
        <v>182.1</v>
      </c>
      <c r="E19" s="10"/>
      <c r="F19" s="10">
        <v>20.7</v>
      </c>
      <c r="G19" s="10"/>
      <c r="H19" s="34">
        <f t="shared" si="0"/>
        <v>202.79999999999998</v>
      </c>
      <c r="I19" s="34">
        <v>19.3</v>
      </c>
      <c r="K19" s="34">
        <v>0</v>
      </c>
      <c r="L19" s="34">
        <v>0</v>
      </c>
      <c r="M19" s="34">
        <v>0</v>
      </c>
      <c r="N19" s="34"/>
      <c r="O19" s="10">
        <f t="shared" si="1"/>
        <v>222.1</v>
      </c>
      <c r="P19" s="10">
        <v>1513.7</v>
      </c>
    </row>
    <row r="20" spans="1:16" ht="11.25" hidden="1" customHeight="1">
      <c r="A20" s="4">
        <v>1994</v>
      </c>
      <c r="B20" s="8">
        <v>9</v>
      </c>
      <c r="D20" s="34">
        <v>0</v>
      </c>
      <c r="E20" s="10"/>
      <c r="F20" s="10">
        <v>48.7</v>
      </c>
      <c r="G20" s="10"/>
      <c r="H20" s="34">
        <f t="shared" si="0"/>
        <v>48.7</v>
      </c>
      <c r="I20" s="34">
        <v>0</v>
      </c>
      <c r="K20" s="34">
        <v>0</v>
      </c>
      <c r="L20" s="34">
        <v>0</v>
      </c>
      <c r="M20" s="34">
        <v>0</v>
      </c>
      <c r="N20" s="34"/>
      <c r="O20" s="10">
        <f t="shared" si="1"/>
        <v>48.7</v>
      </c>
      <c r="P20" s="10">
        <v>919.2</v>
      </c>
    </row>
    <row r="21" spans="1:16" ht="11.25" hidden="1" customHeight="1">
      <c r="A21" s="4">
        <v>1995</v>
      </c>
      <c r="B21" s="8">
        <v>8</v>
      </c>
      <c r="D21" s="34">
        <f>86.5-18.5</f>
        <v>68</v>
      </c>
      <c r="E21" s="10"/>
      <c r="F21" s="10">
        <v>99.414000000000001</v>
      </c>
      <c r="G21" s="10"/>
      <c r="H21" s="34">
        <f t="shared" si="0"/>
        <v>167.41399999999999</v>
      </c>
      <c r="I21" s="34">
        <v>5.83</v>
      </c>
      <c r="K21" s="34">
        <v>0</v>
      </c>
      <c r="L21" s="34">
        <v>0</v>
      </c>
      <c r="M21" s="34">
        <v>0</v>
      </c>
      <c r="N21" s="34"/>
      <c r="O21" s="10">
        <f t="shared" si="1"/>
        <v>173.244</v>
      </c>
      <c r="P21" s="10">
        <v>1050.3219999999999</v>
      </c>
    </row>
    <row r="22" spans="1:16" ht="11.25" hidden="1" customHeight="1">
      <c r="A22" s="4">
        <v>1996</v>
      </c>
      <c r="B22" s="8">
        <v>8</v>
      </c>
      <c r="D22" s="34">
        <v>98.5</v>
      </c>
      <c r="E22" s="10"/>
      <c r="F22" s="10">
        <v>80.150000000000006</v>
      </c>
      <c r="G22" s="10"/>
      <c r="H22" s="34">
        <f t="shared" si="0"/>
        <v>178.65</v>
      </c>
      <c r="I22" s="34">
        <v>91.5</v>
      </c>
      <c r="K22" s="34">
        <v>0</v>
      </c>
      <c r="L22" s="34">
        <v>0</v>
      </c>
      <c r="M22" s="34">
        <v>0</v>
      </c>
      <c r="N22" s="34"/>
      <c r="O22" s="10">
        <f t="shared" si="1"/>
        <v>270.14999999999998</v>
      </c>
      <c r="P22" s="10">
        <v>1788.77</v>
      </c>
    </row>
    <row r="23" spans="1:16" ht="11.25" hidden="1" customHeight="1">
      <c r="A23" s="4">
        <v>1997</v>
      </c>
      <c r="B23" s="8">
        <f>6-1</f>
        <v>5</v>
      </c>
      <c r="D23" s="34">
        <f>45</f>
        <v>45</v>
      </c>
      <c r="E23" s="10"/>
      <c r="F23" s="10">
        <f>59.5-10</f>
        <v>49.5</v>
      </c>
      <c r="G23" s="10"/>
      <c r="H23" s="34">
        <f t="shared" si="0"/>
        <v>94.5</v>
      </c>
      <c r="I23" s="34">
        <v>0</v>
      </c>
      <c r="K23" s="34">
        <v>50</v>
      </c>
      <c r="L23" s="34">
        <v>0</v>
      </c>
      <c r="M23" s="34">
        <v>0</v>
      </c>
      <c r="N23" s="34"/>
      <c r="O23" s="10">
        <f t="shared" si="1"/>
        <v>144.5</v>
      </c>
      <c r="P23" s="10">
        <v>1239.69</v>
      </c>
    </row>
    <row r="24" spans="1:16" ht="11.25" hidden="1" customHeight="1">
      <c r="A24" s="4">
        <v>1998</v>
      </c>
      <c r="B24" s="8">
        <v>6</v>
      </c>
      <c r="D24" s="34">
        <v>136.12</v>
      </c>
      <c r="E24" s="10"/>
      <c r="F24" s="10">
        <f>62.44-20-3</f>
        <v>39.44</v>
      </c>
      <c r="G24" s="10"/>
      <c r="H24" s="34">
        <f t="shared" si="0"/>
        <v>175.56</v>
      </c>
      <c r="I24" s="34">
        <v>151.077</v>
      </c>
      <c r="K24" s="34">
        <v>65</v>
      </c>
      <c r="L24" s="34">
        <v>0</v>
      </c>
      <c r="M24" s="34">
        <v>0</v>
      </c>
      <c r="N24" s="34"/>
      <c r="O24" s="10">
        <f t="shared" si="1"/>
        <v>391.637</v>
      </c>
      <c r="P24" s="10">
        <v>1152.7</v>
      </c>
    </row>
    <row r="25" spans="1:16" ht="11.25" hidden="1" customHeight="1">
      <c r="A25" s="4">
        <v>1999</v>
      </c>
      <c r="B25" s="8">
        <v>3</v>
      </c>
      <c r="D25" s="34">
        <v>101.5</v>
      </c>
      <c r="E25" s="10"/>
      <c r="F25" s="10">
        <v>7.4</v>
      </c>
      <c r="G25" s="10"/>
      <c r="H25" s="34">
        <f t="shared" si="0"/>
        <v>108.9</v>
      </c>
      <c r="I25" s="34">
        <f>181.5-120</f>
        <v>61.5</v>
      </c>
      <c r="K25" s="34">
        <v>0</v>
      </c>
      <c r="L25" s="34">
        <v>0</v>
      </c>
      <c r="M25" s="34">
        <v>0</v>
      </c>
      <c r="N25" s="34"/>
      <c r="O25" s="10">
        <f t="shared" si="1"/>
        <v>170.4</v>
      </c>
      <c r="P25" s="10">
        <f>1412.5-564.8</f>
        <v>847.7</v>
      </c>
    </row>
    <row r="26" spans="1:16" ht="11.25" hidden="1" customHeight="1">
      <c r="A26" s="4">
        <v>2000</v>
      </c>
      <c r="B26" s="8">
        <v>11</v>
      </c>
      <c r="D26" s="34">
        <v>152</v>
      </c>
      <c r="E26" s="16"/>
      <c r="F26" s="10">
        <v>77.650000000000006</v>
      </c>
      <c r="G26" s="10"/>
      <c r="H26" s="34">
        <f t="shared" si="0"/>
        <v>229.65</v>
      </c>
      <c r="I26" s="34">
        <v>45</v>
      </c>
      <c r="K26" s="34">
        <v>0</v>
      </c>
      <c r="L26" s="34">
        <v>101</v>
      </c>
      <c r="M26" s="34">
        <v>0</v>
      </c>
      <c r="N26" s="34"/>
      <c r="O26" s="10">
        <f t="shared" si="1"/>
        <v>375.65</v>
      </c>
      <c r="P26" s="10">
        <v>1629.84</v>
      </c>
    </row>
    <row r="27" spans="1:16" ht="11.25" customHeight="1">
      <c r="A27" s="4">
        <v>2001</v>
      </c>
      <c r="B27" s="8">
        <v>6</v>
      </c>
      <c r="D27" s="34">
        <v>37.5</v>
      </c>
      <c r="E27" s="10"/>
      <c r="F27" s="10">
        <v>30.36</v>
      </c>
      <c r="G27" s="10"/>
      <c r="H27" s="34">
        <f t="shared" si="0"/>
        <v>67.86</v>
      </c>
      <c r="I27" s="34">
        <v>0</v>
      </c>
      <c r="K27" s="34">
        <v>0</v>
      </c>
      <c r="L27" s="34">
        <v>0</v>
      </c>
      <c r="M27" s="34">
        <v>0</v>
      </c>
      <c r="N27" s="4">
        <v>2001</v>
      </c>
      <c r="O27" s="10">
        <f t="shared" si="1"/>
        <v>67.86</v>
      </c>
      <c r="P27" s="10">
        <v>648</v>
      </c>
    </row>
    <row r="28" spans="1:16" ht="11.25" customHeight="1">
      <c r="A28" s="4">
        <v>2002</v>
      </c>
      <c r="B28" s="8">
        <v>7</v>
      </c>
      <c r="D28" s="34">
        <v>110</v>
      </c>
      <c r="E28" s="10"/>
      <c r="F28" s="10">
        <v>35.526000000000003</v>
      </c>
      <c r="G28" s="10"/>
      <c r="H28" s="34">
        <f t="shared" si="0"/>
        <v>145.52600000000001</v>
      </c>
      <c r="I28" s="34">
        <v>0</v>
      </c>
      <c r="K28" s="34">
        <v>0</v>
      </c>
      <c r="L28" s="34">
        <v>60</v>
      </c>
      <c r="M28" s="34">
        <v>0</v>
      </c>
      <c r="N28" s="4">
        <v>2002</v>
      </c>
      <c r="O28" s="10">
        <f t="shared" si="1"/>
        <v>205.52600000000001</v>
      </c>
      <c r="P28" s="10">
        <v>1176.5999999999999</v>
      </c>
    </row>
    <row r="29" spans="1:16" ht="11.25" customHeight="1">
      <c r="A29" s="4">
        <v>2003</v>
      </c>
      <c r="B29" s="8">
        <v>7</v>
      </c>
      <c r="D29" s="34">
        <f>187-20</f>
        <v>167</v>
      </c>
      <c r="E29" s="10"/>
      <c r="F29" s="10">
        <f>35+0.65</f>
        <v>35.65</v>
      </c>
      <c r="G29" s="10"/>
      <c r="H29" s="34">
        <f t="shared" si="0"/>
        <v>202.65</v>
      </c>
      <c r="I29" s="34">
        <v>100</v>
      </c>
      <c r="K29" s="34">
        <f>65+105</f>
        <v>170</v>
      </c>
      <c r="L29" s="34">
        <v>70</v>
      </c>
      <c r="M29" s="34">
        <v>0</v>
      </c>
      <c r="N29" s="4">
        <v>2003</v>
      </c>
      <c r="O29" s="10">
        <f t="shared" si="1"/>
        <v>542.65</v>
      </c>
      <c r="P29" s="10">
        <f>2320-20</f>
        <v>2300</v>
      </c>
    </row>
    <row r="30" spans="1:16" ht="11.25" customHeight="1">
      <c r="A30" s="4">
        <v>2004</v>
      </c>
      <c r="B30" s="8">
        <f>16-1</f>
        <v>15</v>
      </c>
      <c r="C30" s="36" t="s">
        <v>30</v>
      </c>
      <c r="D30" s="34">
        <f>313.9+33-54.4</f>
        <v>292.5</v>
      </c>
      <c r="E30" s="10"/>
      <c r="F30" s="10">
        <f>185-20.6</f>
        <v>164.4</v>
      </c>
      <c r="G30" s="10"/>
      <c r="H30" s="34">
        <f t="shared" si="0"/>
        <v>456.9</v>
      </c>
      <c r="I30" s="34">
        <v>0</v>
      </c>
      <c r="K30" s="34">
        <v>0</v>
      </c>
      <c r="L30" s="34">
        <v>10</v>
      </c>
      <c r="M30" s="34">
        <v>200</v>
      </c>
      <c r="N30" s="4">
        <v>2004</v>
      </c>
      <c r="O30" s="10">
        <f t="shared" si="1"/>
        <v>666.9</v>
      </c>
      <c r="P30" s="10">
        <f>2701.7+250-724</f>
        <v>2227.6999999999998</v>
      </c>
    </row>
    <row r="31" spans="1:16" ht="11.25" customHeight="1">
      <c r="A31" s="4">
        <v>2005</v>
      </c>
      <c r="B31" s="8">
        <v>17</v>
      </c>
      <c r="C31" s="36" t="s">
        <v>33</v>
      </c>
      <c r="D31" s="34">
        <f>536+0.017</f>
        <v>536.01700000000005</v>
      </c>
      <c r="E31" s="10"/>
      <c r="F31" s="10">
        <v>217.1</v>
      </c>
      <c r="G31" s="1"/>
      <c r="H31" s="34">
        <f t="shared" si="0"/>
        <v>753.11700000000008</v>
      </c>
      <c r="I31" s="34">
        <v>0</v>
      </c>
      <c r="K31" s="34">
        <v>18.399999999999999</v>
      </c>
      <c r="L31" s="34">
        <v>50</v>
      </c>
      <c r="M31" s="34">
        <v>0</v>
      </c>
      <c r="N31" s="4">
        <v>2005</v>
      </c>
      <c r="O31" s="10">
        <f t="shared" si="1"/>
        <v>821.51700000000005</v>
      </c>
      <c r="P31" s="10">
        <v>8941.6200000000008</v>
      </c>
    </row>
    <row r="32" spans="1:16" ht="11.25" customHeight="1">
      <c r="A32" s="4"/>
      <c r="D32" s="10"/>
      <c r="E32" s="10"/>
      <c r="F32" s="10"/>
      <c r="G32" s="10"/>
      <c r="O32" s="10"/>
    </row>
    <row r="33" spans="1:16" ht="11.25" customHeight="1">
      <c r="A33" s="32" t="s">
        <v>17</v>
      </c>
      <c r="B33" s="37">
        <f>SUM(B9:B31)</f>
        <v>191</v>
      </c>
      <c r="C33" s="37"/>
      <c r="D33" s="33">
        <f>SUM(D9:D31)</f>
        <v>2392.547</v>
      </c>
      <c r="E33" s="33"/>
      <c r="F33" s="33">
        <f>SUM(F9:F31)</f>
        <v>1111.5289999999998</v>
      </c>
      <c r="G33" s="33"/>
      <c r="H33" s="33">
        <f>SUM(H9:H31)</f>
        <v>3504.0760000000005</v>
      </c>
      <c r="I33" s="33">
        <f>SUM(I9:I31)</f>
        <v>635.80700000000002</v>
      </c>
      <c r="J33" s="33"/>
      <c r="K33" s="33">
        <f>SUM(K9:K31)</f>
        <v>303.39999999999998</v>
      </c>
      <c r="L33" s="33">
        <f>SUM(L9:L31)</f>
        <v>291</v>
      </c>
      <c r="M33" s="33">
        <f>SUM(M9:M31)</f>
        <v>200</v>
      </c>
      <c r="N33" s="33"/>
      <c r="O33" s="33">
        <f>SUM(O9:O31)</f>
        <v>4934.2830000000004</v>
      </c>
      <c r="P33" s="33">
        <f>SUM(P9:P32)</f>
        <v>31575.259000000005</v>
      </c>
    </row>
    <row r="34" spans="1:16" ht="11.25" hidden="1" customHeight="1">
      <c r="A34" s="5" t="s">
        <v>10</v>
      </c>
      <c r="B34" s="38"/>
      <c r="C34" s="38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6" ht="11.25" hidden="1" customHeight="1">
      <c r="A35" s="1" t="s">
        <v>7</v>
      </c>
    </row>
    <row r="36" spans="1:16" ht="11.25" hidden="1" customHeight="1">
      <c r="A36" s="1" t="s">
        <v>8</v>
      </c>
    </row>
    <row r="37" spans="1:16" ht="11.25" hidden="1" customHeight="1">
      <c r="A37" s="1" t="s">
        <v>31</v>
      </c>
    </row>
    <row r="38" spans="1:16" ht="11.25" hidden="1" customHeight="1">
      <c r="A38" s="1" t="s">
        <v>34</v>
      </c>
    </row>
    <row r="39" spans="1:16" ht="11.25" hidden="1" customHeight="1"/>
    <row r="40" spans="1:16" ht="11.25" hidden="1" customHeight="1"/>
  </sheetData>
  <mergeCells count="2">
    <mergeCell ref="I6:J6"/>
    <mergeCell ref="I5:J5"/>
  </mergeCells>
  <phoneticPr fontId="0" type="noConversion"/>
  <printOptions horizontalCentered="1"/>
  <pageMargins left="0.5" right="0.5" top="1.33858267716535" bottom="0.94488188976377996" header="0.511811023622047" footer="0.5"/>
  <pageSetup scale="90" orientation="portrait" horizontalDpi="300" verticalDpi="300"/>
  <headerFooter>
    <oddFooter>&amp;L&amp;8T11-1205.xls_x000D_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0"/>
  <sheetViews>
    <sheetView workbookViewId="0">
      <pane xSplit="3" ySplit="7" topLeftCell="D14" activePane="bottomRight" state="frozen"/>
      <selection pane="topRight" activeCell="D1" sqref="D1"/>
      <selection pane="bottomLeft" activeCell="A8" sqref="A8"/>
      <selection pane="bottomRight" activeCell="D104" sqref="D104"/>
    </sheetView>
  </sheetViews>
  <sheetFormatPr baseColWidth="10" defaultColWidth="9.1640625" defaultRowHeight="11.25" customHeight="1"/>
  <cols>
    <col min="1" max="1" width="7.5" style="45" customWidth="1"/>
    <col min="2" max="2" width="8.33203125" style="71" customWidth="1"/>
    <col min="3" max="3" width="1.33203125" style="71" bestFit="1" customWidth="1"/>
    <col min="4" max="4" width="8.1640625" style="44" bestFit="1" customWidth="1"/>
    <col min="5" max="5" width="2.33203125" style="44" customWidth="1"/>
    <col min="6" max="6" width="9.1640625" style="44"/>
    <col min="7" max="7" width="2.5" style="44" customWidth="1"/>
    <col min="8" max="8" width="7.83203125" style="42" customWidth="1"/>
    <col min="9" max="9" width="11.1640625" style="42" customWidth="1"/>
    <col min="10" max="10" width="7.6640625" style="42" customWidth="1"/>
    <col min="11" max="11" width="9.1640625" style="42"/>
    <col min="12" max="12" width="2.1640625" style="42" customWidth="1"/>
    <col min="13" max="13" width="9.1640625" style="42"/>
    <col min="14" max="15" width="8.1640625" style="43" customWidth="1"/>
    <col min="16" max="16" width="6.83203125" style="43" customWidth="1"/>
    <col min="17" max="17" width="9.5" style="44" customWidth="1"/>
    <col min="18" max="16384" width="9.1640625" style="45"/>
  </cols>
  <sheetData>
    <row r="1" spans="1:18" ht="9" customHeight="1">
      <c r="A1" s="39" t="s">
        <v>56</v>
      </c>
      <c r="B1" s="40"/>
      <c r="C1" s="40"/>
      <c r="D1" s="41"/>
      <c r="E1" s="41"/>
      <c r="F1" s="41"/>
      <c r="G1" s="41"/>
    </row>
    <row r="2" spans="1:18" ht="14.25" customHeight="1">
      <c r="A2" s="39" t="s">
        <v>48</v>
      </c>
      <c r="B2" s="40"/>
      <c r="C2" s="40"/>
      <c r="D2" s="41"/>
      <c r="E2" s="41"/>
      <c r="F2" s="41"/>
      <c r="G2" s="41"/>
    </row>
    <row r="3" spans="1:18" ht="11.25" customHeight="1">
      <c r="A3" s="46" t="s">
        <v>0</v>
      </c>
      <c r="B3" s="47"/>
      <c r="C3" s="47"/>
    </row>
    <row r="5" spans="1:18" ht="11.25" customHeight="1">
      <c r="A5" s="48"/>
      <c r="B5" s="49"/>
      <c r="C5" s="49"/>
      <c r="D5" s="50"/>
      <c r="E5" s="50"/>
      <c r="F5" s="50"/>
      <c r="G5" s="50"/>
      <c r="H5" s="50" t="s">
        <v>1</v>
      </c>
      <c r="I5" s="138"/>
      <c r="J5" s="138"/>
      <c r="K5" s="50" t="s">
        <v>21</v>
      </c>
      <c r="L5" s="50"/>
      <c r="M5" s="50" t="s">
        <v>14</v>
      </c>
      <c r="N5" s="51"/>
      <c r="O5" s="51" t="s">
        <v>46</v>
      </c>
      <c r="P5" s="51"/>
      <c r="Q5" s="52" t="s">
        <v>1</v>
      </c>
      <c r="R5" s="53" t="s">
        <v>11</v>
      </c>
    </row>
    <row r="6" spans="1:18" ht="11.25" customHeight="1">
      <c r="A6" s="54"/>
      <c r="B6" s="55" t="s">
        <v>2</v>
      </c>
      <c r="C6" s="55"/>
      <c r="D6" s="56"/>
      <c r="E6" s="56"/>
      <c r="F6" s="57" t="s">
        <v>3</v>
      </c>
      <c r="G6" s="57"/>
      <c r="H6" s="58" t="s">
        <v>9</v>
      </c>
      <c r="I6" s="139"/>
      <c r="J6" s="139"/>
      <c r="K6" s="56" t="s">
        <v>22</v>
      </c>
      <c r="L6" s="56"/>
      <c r="M6" s="56" t="s">
        <v>15</v>
      </c>
      <c r="N6" s="59"/>
      <c r="O6" s="88" t="s">
        <v>47</v>
      </c>
      <c r="P6" s="59"/>
      <c r="Q6" s="60" t="s">
        <v>9</v>
      </c>
      <c r="R6" s="61" t="s">
        <v>12</v>
      </c>
    </row>
    <row r="7" spans="1:18" ht="12.75" customHeight="1">
      <c r="A7" s="62" t="s">
        <v>4</v>
      </c>
      <c r="B7" s="63" t="s">
        <v>36</v>
      </c>
      <c r="C7" s="63"/>
      <c r="D7" s="64" t="s">
        <v>51</v>
      </c>
      <c r="E7" s="64"/>
      <c r="F7" s="65" t="s">
        <v>38</v>
      </c>
      <c r="G7" s="65"/>
      <c r="H7" s="64" t="s">
        <v>6</v>
      </c>
      <c r="I7" s="66" t="s">
        <v>45</v>
      </c>
      <c r="J7" s="66"/>
      <c r="K7" s="64" t="s">
        <v>16</v>
      </c>
      <c r="L7" s="64"/>
      <c r="M7" s="64" t="s">
        <v>16</v>
      </c>
      <c r="N7" s="67" t="s">
        <v>44</v>
      </c>
      <c r="O7" s="67" t="s">
        <v>49</v>
      </c>
      <c r="P7" s="68" t="s">
        <v>43</v>
      </c>
      <c r="Q7" s="69" t="s">
        <v>40</v>
      </c>
      <c r="R7" s="70" t="s">
        <v>13</v>
      </c>
    </row>
    <row r="8" spans="1:18" ht="11.25" customHeight="1">
      <c r="D8" s="42"/>
      <c r="E8" s="42"/>
      <c r="F8" s="42"/>
      <c r="G8" s="42"/>
    </row>
    <row r="9" spans="1:18" ht="11.25" customHeight="1">
      <c r="A9" s="72">
        <v>1983</v>
      </c>
      <c r="B9" s="71">
        <v>2</v>
      </c>
      <c r="D9" s="43">
        <v>0</v>
      </c>
      <c r="E9" s="42"/>
      <c r="F9" s="42">
        <v>2.96</v>
      </c>
      <c r="G9" s="42"/>
      <c r="H9" s="43">
        <f>D9+F9</f>
        <v>2.96</v>
      </c>
      <c r="I9" s="43">
        <v>0</v>
      </c>
      <c r="K9" s="43">
        <v>0</v>
      </c>
      <c r="L9" s="43"/>
      <c r="M9" s="43">
        <v>0</v>
      </c>
      <c r="N9" s="43">
        <v>0</v>
      </c>
      <c r="Q9" s="42">
        <f t="shared" ref="Q9:Q35" si="0">H9+I9+M9+K9+N9</f>
        <v>2.96</v>
      </c>
      <c r="R9" s="42">
        <v>36</v>
      </c>
    </row>
    <row r="10" spans="1:18" ht="11.25" customHeight="1">
      <c r="A10" s="72">
        <v>1984</v>
      </c>
      <c r="B10" s="71">
        <v>1</v>
      </c>
      <c r="D10" s="43">
        <v>0</v>
      </c>
      <c r="E10" s="42"/>
      <c r="F10" s="42">
        <v>0.42</v>
      </c>
      <c r="G10" s="42"/>
      <c r="H10" s="43">
        <f>D10+F10</f>
        <v>0.42</v>
      </c>
      <c r="I10" s="43">
        <v>0</v>
      </c>
      <c r="K10" s="43">
        <v>0</v>
      </c>
      <c r="L10" s="43"/>
      <c r="M10" s="43">
        <v>0</v>
      </c>
      <c r="N10" s="43">
        <v>0</v>
      </c>
      <c r="Q10" s="42">
        <f t="shared" si="0"/>
        <v>0.42</v>
      </c>
      <c r="R10" s="42">
        <v>2.8</v>
      </c>
    </row>
    <row r="11" spans="1:18" ht="11.25" customHeight="1">
      <c r="A11" s="72">
        <v>1985</v>
      </c>
      <c r="B11" s="71">
        <v>3</v>
      </c>
      <c r="D11" s="43">
        <v>0</v>
      </c>
      <c r="E11" s="42"/>
      <c r="F11" s="42">
        <v>3.4</v>
      </c>
      <c r="G11" s="42"/>
      <c r="H11" s="43">
        <f>D11+F11</f>
        <v>3.4</v>
      </c>
      <c r="I11" s="43">
        <v>0</v>
      </c>
      <c r="K11" s="43">
        <v>0</v>
      </c>
      <c r="L11" s="43"/>
      <c r="M11" s="43">
        <v>0</v>
      </c>
      <c r="N11" s="43">
        <v>0</v>
      </c>
      <c r="Q11" s="42">
        <f t="shared" si="0"/>
        <v>3.4</v>
      </c>
      <c r="R11" s="42">
        <v>26.5</v>
      </c>
    </row>
    <row r="12" spans="1:18" ht="11.25" customHeight="1">
      <c r="A12" s="72">
        <v>1986</v>
      </c>
      <c r="B12" s="71">
        <v>4</v>
      </c>
      <c r="D12" s="43">
        <v>6.46</v>
      </c>
      <c r="E12" s="42"/>
      <c r="F12" s="42">
        <v>6.0129999999999999</v>
      </c>
      <c r="G12" s="42"/>
      <c r="H12" s="43">
        <f>D12+F12</f>
        <v>12.472999999999999</v>
      </c>
      <c r="I12" s="43">
        <v>0</v>
      </c>
      <c r="K12" s="43">
        <v>0</v>
      </c>
      <c r="L12" s="43"/>
      <c r="M12" s="43">
        <v>0</v>
      </c>
      <c r="N12" s="43">
        <v>0</v>
      </c>
      <c r="Q12" s="42">
        <f t="shared" si="0"/>
        <v>12.472999999999999</v>
      </c>
      <c r="R12" s="42">
        <v>20.32</v>
      </c>
    </row>
    <row r="13" spans="1:18" ht="11.25" customHeight="1">
      <c r="A13" s="72">
        <v>1987</v>
      </c>
      <c r="B13" s="71">
        <v>7</v>
      </c>
      <c r="D13" s="43">
        <f>18+2.5</f>
        <v>20.5</v>
      </c>
      <c r="E13" s="42"/>
      <c r="F13" s="42">
        <f>7+15.605+5</f>
        <v>27.605</v>
      </c>
      <c r="G13" s="42"/>
      <c r="H13" s="43">
        <f>D13+F13</f>
        <v>48.105000000000004</v>
      </c>
      <c r="I13" s="73">
        <v>5</v>
      </c>
      <c r="J13" s="74"/>
      <c r="K13" s="43">
        <v>0</v>
      </c>
      <c r="L13" s="43"/>
      <c r="M13" s="43">
        <v>0</v>
      </c>
      <c r="N13" s="43">
        <v>0</v>
      </c>
      <c r="Q13" s="42">
        <f t="shared" si="0"/>
        <v>53.105000000000004</v>
      </c>
      <c r="R13" s="42">
        <v>519.24</v>
      </c>
    </row>
    <row r="14" spans="1:18" ht="11.25" customHeight="1">
      <c r="A14" s="72">
        <v>1988</v>
      </c>
      <c r="B14" s="71">
        <v>12</v>
      </c>
      <c r="D14" s="43">
        <v>58</v>
      </c>
      <c r="E14" s="42"/>
      <c r="F14" s="42">
        <f>8+7.67+20</f>
        <v>35.67</v>
      </c>
      <c r="G14" s="42"/>
      <c r="H14" s="43">
        <f t="shared" ref="H14:H35" si="1">D14+F14</f>
        <v>93.67</v>
      </c>
      <c r="I14" s="43">
        <v>0</v>
      </c>
      <c r="K14" s="43">
        <v>0</v>
      </c>
      <c r="L14" s="43"/>
      <c r="M14" s="43">
        <v>0</v>
      </c>
      <c r="N14" s="43">
        <v>0</v>
      </c>
      <c r="Q14" s="42">
        <f t="shared" si="0"/>
        <v>93.67</v>
      </c>
      <c r="R14" s="42">
        <v>502.32</v>
      </c>
    </row>
    <row r="15" spans="1:18" ht="11.25" customHeight="1">
      <c r="A15" s="72">
        <v>1989</v>
      </c>
      <c r="B15" s="71">
        <v>16</v>
      </c>
      <c r="D15" s="43">
        <f>89.7+6</f>
        <v>95.7</v>
      </c>
      <c r="E15" s="42"/>
      <c r="F15" s="42">
        <f>2+54.39+11.2</f>
        <v>67.59</v>
      </c>
      <c r="G15" s="42"/>
      <c r="H15" s="43">
        <f t="shared" si="1"/>
        <v>163.29000000000002</v>
      </c>
      <c r="I15" s="43">
        <v>51.1</v>
      </c>
      <c r="K15" s="43">
        <v>0</v>
      </c>
      <c r="L15" s="43"/>
      <c r="M15" s="43">
        <v>0</v>
      </c>
      <c r="N15" s="43">
        <v>0</v>
      </c>
      <c r="Q15" s="42">
        <f t="shared" si="0"/>
        <v>214.39000000000001</v>
      </c>
      <c r="R15" s="42">
        <v>1038.6600000000001</v>
      </c>
    </row>
    <row r="16" spans="1:18" ht="11.25" customHeight="1">
      <c r="A16" s="72">
        <v>1990</v>
      </c>
      <c r="B16" s="71">
        <v>17</v>
      </c>
      <c r="D16" s="43">
        <f>72.85+6</f>
        <v>78.849999999999994</v>
      </c>
      <c r="E16" s="42"/>
      <c r="F16" s="42">
        <f>8+23.623+4.32</f>
        <v>35.942999999999998</v>
      </c>
      <c r="G16" s="42"/>
      <c r="H16" s="43">
        <f t="shared" si="1"/>
        <v>114.79299999999999</v>
      </c>
      <c r="I16" s="43">
        <v>24</v>
      </c>
      <c r="K16" s="43">
        <v>0</v>
      </c>
      <c r="L16" s="43"/>
      <c r="M16" s="43">
        <v>0</v>
      </c>
      <c r="N16" s="43">
        <v>0</v>
      </c>
      <c r="Q16" s="42">
        <f t="shared" si="0"/>
        <v>138.79300000000001</v>
      </c>
      <c r="R16" s="42">
        <v>2026.13</v>
      </c>
    </row>
    <row r="17" spans="1:19" ht="11.25" customHeight="1">
      <c r="A17" s="72">
        <v>1991</v>
      </c>
      <c r="B17" s="71">
        <v>10</v>
      </c>
      <c r="D17" s="43">
        <f>156.8</f>
        <v>156.80000000000001</v>
      </c>
      <c r="E17" s="42"/>
      <c r="F17" s="42">
        <f>20.518</f>
        <v>20.518000000000001</v>
      </c>
      <c r="G17" s="42"/>
      <c r="H17" s="43">
        <f t="shared" si="1"/>
        <v>177.31800000000001</v>
      </c>
      <c r="I17" s="43">
        <v>0</v>
      </c>
      <c r="K17" s="43">
        <v>0</v>
      </c>
      <c r="L17" s="43"/>
      <c r="M17" s="43">
        <v>0</v>
      </c>
      <c r="N17" s="43">
        <v>0</v>
      </c>
      <c r="Q17" s="42">
        <f t="shared" si="0"/>
        <v>177.31800000000001</v>
      </c>
      <c r="R17" s="42">
        <v>1325.18</v>
      </c>
    </row>
    <row r="18" spans="1:19" ht="11.25" customHeight="1">
      <c r="A18" s="72">
        <v>1992</v>
      </c>
      <c r="B18" s="71">
        <v>4</v>
      </c>
      <c r="D18" s="43">
        <v>50</v>
      </c>
      <c r="E18" s="42"/>
      <c r="F18" s="42">
        <v>5.42</v>
      </c>
      <c r="G18" s="42"/>
      <c r="H18" s="43">
        <f t="shared" si="1"/>
        <v>55.42</v>
      </c>
      <c r="I18" s="43">
        <v>81.5</v>
      </c>
      <c r="K18" s="43">
        <v>0</v>
      </c>
      <c r="L18" s="43"/>
      <c r="M18" s="43">
        <v>0</v>
      </c>
      <c r="N18" s="43">
        <v>0</v>
      </c>
      <c r="Q18" s="42">
        <f t="shared" si="0"/>
        <v>136.92000000000002</v>
      </c>
      <c r="R18" s="42">
        <v>402.29</v>
      </c>
    </row>
    <row r="19" spans="1:19" ht="11.25" customHeight="1">
      <c r="A19" s="72">
        <v>1993</v>
      </c>
      <c r="B19" s="71">
        <v>8</v>
      </c>
      <c r="D19" s="43">
        <v>182.1</v>
      </c>
      <c r="E19" s="42"/>
      <c r="F19" s="42">
        <v>20.7</v>
      </c>
      <c r="G19" s="42"/>
      <c r="H19" s="43">
        <f t="shared" si="1"/>
        <v>202.79999999999998</v>
      </c>
      <c r="I19" s="43">
        <v>19.3</v>
      </c>
      <c r="K19" s="43">
        <v>0</v>
      </c>
      <c r="L19" s="43"/>
      <c r="M19" s="43">
        <v>0</v>
      </c>
      <c r="N19" s="43">
        <v>0</v>
      </c>
      <c r="Q19" s="42">
        <f t="shared" si="0"/>
        <v>222.1</v>
      </c>
      <c r="R19" s="42">
        <v>1505.7</v>
      </c>
    </row>
    <row r="20" spans="1:19" ht="11.25" customHeight="1">
      <c r="A20" s="72">
        <v>1994</v>
      </c>
      <c r="B20" s="71">
        <v>10</v>
      </c>
      <c r="D20" s="43">
        <v>0</v>
      </c>
      <c r="E20" s="42"/>
      <c r="F20" s="42">
        <v>48.7</v>
      </c>
      <c r="G20" s="42"/>
      <c r="H20" s="43">
        <f t="shared" si="1"/>
        <v>48.7</v>
      </c>
      <c r="I20" s="43">
        <v>0</v>
      </c>
      <c r="K20" s="43">
        <v>0</v>
      </c>
      <c r="L20" s="43"/>
      <c r="M20" s="43">
        <v>0</v>
      </c>
      <c r="N20" s="43">
        <v>0</v>
      </c>
      <c r="Q20" s="42">
        <f t="shared" si="0"/>
        <v>48.7</v>
      </c>
      <c r="R20" s="42">
        <v>919.2</v>
      </c>
    </row>
    <row r="21" spans="1:19" ht="11.25" customHeight="1">
      <c r="A21" s="72">
        <v>1995</v>
      </c>
      <c r="B21" s="71">
        <v>7</v>
      </c>
      <c r="D21" s="43">
        <f>86.5-18.5</f>
        <v>68</v>
      </c>
      <c r="E21" s="42"/>
      <c r="F21" s="42">
        <v>99.414000000000001</v>
      </c>
      <c r="G21" s="42"/>
      <c r="H21" s="43">
        <f t="shared" si="1"/>
        <v>167.41399999999999</v>
      </c>
      <c r="I21" s="43">
        <v>5.83</v>
      </c>
      <c r="K21" s="43">
        <v>0</v>
      </c>
      <c r="L21" s="43"/>
      <c r="M21" s="43">
        <v>0</v>
      </c>
      <c r="N21" s="43">
        <v>0</v>
      </c>
      <c r="Q21" s="42">
        <f t="shared" si="0"/>
        <v>173.244</v>
      </c>
      <c r="R21" s="42">
        <v>1050.3219999999999</v>
      </c>
    </row>
    <row r="22" spans="1:19" ht="11.25" customHeight="1">
      <c r="A22" s="72">
        <v>1996</v>
      </c>
      <c r="B22" s="71">
        <v>7</v>
      </c>
      <c r="D22" s="43">
        <v>98.5</v>
      </c>
      <c r="E22" s="42"/>
      <c r="F22" s="42">
        <v>80.150000000000006</v>
      </c>
      <c r="G22" s="42"/>
      <c r="H22" s="43">
        <f t="shared" si="1"/>
        <v>178.65</v>
      </c>
      <c r="I22" s="43">
        <v>91.5</v>
      </c>
      <c r="K22" s="43">
        <v>0</v>
      </c>
      <c r="L22" s="43"/>
      <c r="M22" s="43">
        <v>0</v>
      </c>
      <c r="N22" s="43">
        <v>0</v>
      </c>
      <c r="Q22" s="42">
        <f t="shared" si="0"/>
        <v>270.14999999999998</v>
      </c>
      <c r="R22" s="42">
        <v>1788.77</v>
      </c>
    </row>
    <row r="23" spans="1:19" ht="11.25" customHeight="1">
      <c r="A23" s="72">
        <v>1997</v>
      </c>
      <c r="B23" s="71">
        <v>6</v>
      </c>
      <c r="D23" s="43">
        <f>45</f>
        <v>45</v>
      </c>
      <c r="E23" s="42"/>
      <c r="F23" s="42">
        <f>59.5-10</f>
        <v>49.5</v>
      </c>
      <c r="G23" s="42"/>
      <c r="H23" s="43">
        <f t="shared" si="1"/>
        <v>94.5</v>
      </c>
      <c r="I23" s="43">
        <v>0</v>
      </c>
      <c r="K23" s="43">
        <v>0</v>
      </c>
      <c r="L23" s="43"/>
      <c r="M23" s="43">
        <v>0</v>
      </c>
      <c r="N23" s="43">
        <v>0</v>
      </c>
      <c r="Q23" s="42">
        <f t="shared" si="0"/>
        <v>94.5</v>
      </c>
      <c r="R23" s="42">
        <v>1239.69</v>
      </c>
    </row>
    <row r="24" spans="1:19" ht="11.25" customHeight="1">
      <c r="A24" s="72">
        <v>1998</v>
      </c>
      <c r="B24" s="71">
        <v>6</v>
      </c>
      <c r="D24" s="43">
        <v>136.12</v>
      </c>
      <c r="E24" s="42"/>
      <c r="F24" s="42">
        <f>62.44-20-3</f>
        <v>39.44</v>
      </c>
      <c r="G24" s="42"/>
      <c r="H24" s="43">
        <f t="shared" si="1"/>
        <v>175.56</v>
      </c>
      <c r="I24" s="43">
        <v>151.077</v>
      </c>
      <c r="K24" s="43">
        <v>0</v>
      </c>
      <c r="L24" s="43"/>
      <c r="M24" s="43">
        <v>0</v>
      </c>
      <c r="N24" s="43">
        <v>0</v>
      </c>
      <c r="Q24" s="42">
        <f t="shared" si="0"/>
        <v>326.637</v>
      </c>
      <c r="R24" s="42">
        <v>1152.7</v>
      </c>
    </row>
    <row r="25" spans="1:19" ht="11.25" customHeight="1">
      <c r="A25" s="72">
        <v>1999</v>
      </c>
      <c r="B25" s="71">
        <v>3</v>
      </c>
      <c r="D25" s="43">
        <v>101.5</v>
      </c>
      <c r="E25" s="42"/>
      <c r="F25" s="42">
        <v>7.4</v>
      </c>
      <c r="G25" s="42"/>
      <c r="H25" s="43">
        <f t="shared" si="1"/>
        <v>108.9</v>
      </c>
      <c r="I25" s="43">
        <f>181.5-120</f>
        <v>61.5</v>
      </c>
      <c r="K25" s="43">
        <v>0</v>
      </c>
      <c r="L25" s="43"/>
      <c r="M25" s="43">
        <v>0</v>
      </c>
      <c r="N25" s="43">
        <v>0</v>
      </c>
      <c r="Q25" s="42">
        <f t="shared" si="0"/>
        <v>170.4</v>
      </c>
      <c r="R25" s="42">
        <v>847.7</v>
      </c>
    </row>
    <row r="26" spans="1:19" ht="11.25" customHeight="1">
      <c r="A26" s="72">
        <v>2000</v>
      </c>
      <c r="B26" s="71">
        <v>9</v>
      </c>
      <c r="D26" s="43">
        <v>152</v>
      </c>
      <c r="E26" s="75"/>
      <c r="F26" s="42">
        <v>77.650000000000006</v>
      </c>
      <c r="G26" s="42"/>
      <c r="H26" s="43">
        <f t="shared" si="1"/>
        <v>229.65</v>
      </c>
      <c r="I26" s="43">
        <v>45</v>
      </c>
      <c r="K26" s="43">
        <v>0</v>
      </c>
      <c r="L26" s="43"/>
      <c r="M26" s="43">
        <v>0</v>
      </c>
      <c r="N26" s="43">
        <v>0</v>
      </c>
      <c r="Q26" s="42">
        <f t="shared" si="0"/>
        <v>274.64999999999998</v>
      </c>
      <c r="R26" s="42">
        <v>1629.84</v>
      </c>
    </row>
    <row r="27" spans="1:19" ht="11.25" customHeight="1">
      <c r="A27" s="72">
        <v>2001</v>
      </c>
      <c r="B27" s="71">
        <v>6</v>
      </c>
      <c r="D27" s="43">
        <v>37.5</v>
      </c>
      <c r="E27" s="42"/>
      <c r="F27" s="42">
        <v>30.36</v>
      </c>
      <c r="G27" s="42"/>
      <c r="H27" s="43">
        <f t="shared" si="1"/>
        <v>67.86</v>
      </c>
      <c r="I27" s="43">
        <v>0</v>
      </c>
      <c r="K27" s="43">
        <v>0</v>
      </c>
      <c r="L27" s="43"/>
      <c r="M27" s="43">
        <v>0</v>
      </c>
      <c r="N27" s="43">
        <v>0</v>
      </c>
      <c r="Q27" s="42">
        <f t="shared" si="0"/>
        <v>67.86</v>
      </c>
      <c r="R27" s="42">
        <v>648</v>
      </c>
    </row>
    <row r="28" spans="1:19" ht="11.25" customHeight="1">
      <c r="A28" s="72">
        <v>2002</v>
      </c>
      <c r="B28" s="71">
        <v>6</v>
      </c>
      <c r="D28" s="43">
        <v>110</v>
      </c>
      <c r="E28" s="42"/>
      <c r="F28" s="42">
        <v>25.53</v>
      </c>
      <c r="G28" s="42"/>
      <c r="H28" s="43">
        <f t="shared" si="1"/>
        <v>135.53</v>
      </c>
      <c r="I28" s="43">
        <v>0</v>
      </c>
      <c r="K28" s="43">
        <v>0</v>
      </c>
      <c r="L28" s="43"/>
      <c r="M28" s="43">
        <v>60</v>
      </c>
      <c r="N28" s="43">
        <v>0</v>
      </c>
      <c r="Q28" s="42">
        <f t="shared" si="0"/>
        <v>195.53</v>
      </c>
      <c r="R28" s="76">
        <v>1136.5999999999999</v>
      </c>
      <c r="S28" s="44"/>
    </row>
    <row r="29" spans="1:19" ht="11.25" customHeight="1">
      <c r="A29" s="72">
        <v>2003</v>
      </c>
      <c r="B29" s="71">
        <v>7</v>
      </c>
      <c r="D29" s="43">
        <f>187-20-45</f>
        <v>122</v>
      </c>
      <c r="E29" s="42"/>
      <c r="F29" s="42">
        <f>35+0.65</f>
        <v>35.65</v>
      </c>
      <c r="G29" s="42"/>
      <c r="H29" s="43">
        <f t="shared" si="1"/>
        <v>157.65</v>
      </c>
      <c r="I29" s="43">
        <v>170</v>
      </c>
      <c r="K29" s="43">
        <f>65</f>
        <v>65</v>
      </c>
      <c r="L29" s="43"/>
      <c r="M29" s="43">
        <v>0</v>
      </c>
      <c r="N29" s="43">
        <v>150</v>
      </c>
      <c r="Q29" s="42">
        <f t="shared" si="0"/>
        <v>542.65</v>
      </c>
      <c r="R29" s="42">
        <v>2300</v>
      </c>
    </row>
    <row r="30" spans="1:19" ht="11.25" customHeight="1">
      <c r="A30" s="72">
        <v>2004</v>
      </c>
      <c r="B30" s="71">
        <f>15-1</f>
        <v>14</v>
      </c>
      <c r="C30" s="77"/>
      <c r="D30" s="43">
        <f>292.5-200</f>
        <v>92.5</v>
      </c>
      <c r="E30" s="42"/>
      <c r="F30" s="42">
        <v>164.37</v>
      </c>
      <c r="G30" s="42"/>
      <c r="H30" s="43">
        <f t="shared" si="1"/>
        <v>256.87</v>
      </c>
      <c r="I30" s="43">
        <v>0</v>
      </c>
      <c r="K30" s="43">
        <v>0</v>
      </c>
      <c r="L30" s="43"/>
      <c r="M30" s="43">
        <v>10</v>
      </c>
      <c r="N30" s="43">
        <f>200-200</f>
        <v>0</v>
      </c>
      <c r="Q30" s="42">
        <f t="shared" si="0"/>
        <v>266.87</v>
      </c>
      <c r="R30" s="42">
        <v>2227.6999999999998</v>
      </c>
    </row>
    <row r="31" spans="1:19" ht="11.25" customHeight="1">
      <c r="A31" s="72">
        <v>2005</v>
      </c>
      <c r="B31" s="71">
        <v>13</v>
      </c>
      <c r="C31" s="77"/>
      <c r="D31" s="43">
        <v>513.02</v>
      </c>
      <c r="E31" s="42"/>
      <c r="F31" s="42">
        <v>175.5</v>
      </c>
      <c r="G31" s="45"/>
      <c r="H31" s="43">
        <f t="shared" si="1"/>
        <v>688.52</v>
      </c>
      <c r="I31" s="43">
        <v>0</v>
      </c>
      <c r="K31" s="43">
        <v>18.399999999999999</v>
      </c>
      <c r="L31" s="43"/>
      <c r="M31" s="43">
        <v>0</v>
      </c>
      <c r="N31" s="43">
        <v>0</v>
      </c>
      <c r="Q31" s="42">
        <f t="shared" si="0"/>
        <v>706.92</v>
      </c>
      <c r="R31" s="42">
        <f>8776.42-100</f>
        <v>8676.42</v>
      </c>
    </row>
    <row r="32" spans="1:19" ht="11.25" customHeight="1">
      <c r="A32" s="72">
        <v>2006</v>
      </c>
      <c r="B32" s="71">
        <v>18</v>
      </c>
      <c r="C32" s="77"/>
      <c r="D32" s="43">
        <v>450</v>
      </c>
      <c r="E32" s="42"/>
      <c r="F32" s="42">
        <f>235.5-5</f>
        <v>230.5</v>
      </c>
      <c r="G32" s="45"/>
      <c r="H32" s="43">
        <f t="shared" si="1"/>
        <v>680.5</v>
      </c>
      <c r="I32" s="43">
        <v>330</v>
      </c>
      <c r="K32" s="43">
        <v>109.8</v>
      </c>
      <c r="L32" s="43"/>
      <c r="M32" s="43">
        <v>15</v>
      </c>
      <c r="N32" s="43">
        <v>0</v>
      </c>
      <c r="Q32" s="42">
        <f t="shared" si="0"/>
        <v>1135.3</v>
      </c>
      <c r="R32" s="42">
        <f>8580.84-50-652.5-200</f>
        <v>7678.34</v>
      </c>
    </row>
    <row r="33" spans="1:19" ht="11.25" customHeight="1">
      <c r="A33" s="72">
        <v>2007</v>
      </c>
      <c r="B33" s="71">
        <v>21</v>
      </c>
      <c r="C33" s="77"/>
      <c r="D33" s="43">
        <v>650.27</v>
      </c>
      <c r="E33" s="42"/>
      <c r="F33" s="42">
        <v>79.75</v>
      </c>
      <c r="G33" s="45"/>
      <c r="H33" s="43">
        <f t="shared" si="1"/>
        <v>730.02</v>
      </c>
      <c r="I33" s="43">
        <v>200</v>
      </c>
      <c r="K33" s="43">
        <v>251</v>
      </c>
      <c r="L33" s="43"/>
      <c r="M33" s="43">
        <v>0</v>
      </c>
      <c r="N33" s="43">
        <v>0</v>
      </c>
      <c r="Q33" s="42">
        <f t="shared" si="0"/>
        <v>1181.02</v>
      </c>
      <c r="R33" s="42">
        <v>3494.54</v>
      </c>
    </row>
    <row r="34" spans="1:19" ht="11.25" customHeight="1">
      <c r="A34" s="72">
        <v>2008</v>
      </c>
      <c r="B34" s="71">
        <v>12</v>
      </c>
      <c r="C34" s="77"/>
      <c r="D34" s="43">
        <f>1521.582-225</f>
        <v>1296.5820000000001</v>
      </c>
      <c r="E34" s="42"/>
      <c r="F34" s="42">
        <v>103.08</v>
      </c>
      <c r="G34" s="45"/>
      <c r="H34" s="43">
        <f t="shared" si="1"/>
        <v>1399.662</v>
      </c>
      <c r="I34" s="43">
        <v>425</v>
      </c>
      <c r="K34" s="43">
        <v>0</v>
      </c>
      <c r="L34" s="43"/>
      <c r="M34" s="43">
        <v>0</v>
      </c>
      <c r="Q34" s="42">
        <f t="shared" si="0"/>
        <v>1824.662</v>
      </c>
      <c r="R34" s="42">
        <f>9992.493-100-225</f>
        <v>9667.4930000000004</v>
      </c>
    </row>
    <row r="35" spans="1:19" ht="11.25" customHeight="1">
      <c r="A35" s="72">
        <v>2009</v>
      </c>
      <c r="B35" s="71">
        <v>11</v>
      </c>
      <c r="C35" s="77"/>
      <c r="D35" s="43">
        <v>437.87</v>
      </c>
      <c r="E35" s="42"/>
      <c r="F35" s="42">
        <v>220</v>
      </c>
      <c r="G35" s="45"/>
      <c r="H35" s="43">
        <f t="shared" si="1"/>
        <v>657.87</v>
      </c>
      <c r="I35" s="43">
        <v>276.2</v>
      </c>
      <c r="K35" s="43">
        <v>0</v>
      </c>
      <c r="L35" s="43"/>
      <c r="M35" s="43"/>
      <c r="N35" s="43">
        <v>850</v>
      </c>
      <c r="Q35" s="42">
        <f t="shared" si="0"/>
        <v>1784.07</v>
      </c>
      <c r="R35" s="42">
        <f>4505.92-172.4</f>
        <v>4333.5200000000004</v>
      </c>
    </row>
    <row r="36" spans="1:19" ht="11.25" customHeight="1">
      <c r="A36" s="72">
        <v>2010</v>
      </c>
      <c r="B36" s="71">
        <v>19</v>
      </c>
      <c r="C36" s="77"/>
      <c r="D36" s="43">
        <v>1034.7</v>
      </c>
      <c r="E36" s="42"/>
      <c r="F36" s="42">
        <v>235</v>
      </c>
      <c r="G36" s="45"/>
      <c r="H36" s="43">
        <f>F36+D36</f>
        <v>1269.7</v>
      </c>
      <c r="I36" s="43">
        <v>320</v>
      </c>
      <c r="K36" s="43">
        <v>500</v>
      </c>
      <c r="L36" s="43"/>
      <c r="M36" s="43">
        <v>0</v>
      </c>
      <c r="N36" s="43">
        <v>0</v>
      </c>
      <c r="P36" s="43">
        <v>2</v>
      </c>
      <c r="Q36" s="42">
        <f>SUM(H36:P36)</f>
        <v>2091.6999999999998</v>
      </c>
      <c r="R36" s="42">
        <v>5942.42</v>
      </c>
      <c r="S36" s="45" t="s">
        <v>58</v>
      </c>
    </row>
    <row r="37" spans="1:19" ht="11.25" customHeight="1">
      <c r="A37" s="72">
        <v>2011</v>
      </c>
      <c r="B37" s="71">
        <v>17</v>
      </c>
      <c r="C37" s="77"/>
      <c r="D37" s="43">
        <v>1600</v>
      </c>
      <c r="E37" s="42"/>
      <c r="F37" s="42">
        <v>89</v>
      </c>
      <c r="G37" s="45"/>
      <c r="H37" s="43">
        <f>F37+D37</f>
        <v>1689</v>
      </c>
      <c r="I37" s="43">
        <v>200</v>
      </c>
      <c r="K37" s="43">
        <v>216.61</v>
      </c>
      <c r="L37" s="43"/>
      <c r="M37" s="43">
        <v>200</v>
      </c>
      <c r="N37" s="43">
        <v>0</v>
      </c>
      <c r="P37" s="43">
        <v>0</v>
      </c>
      <c r="Q37" s="42">
        <f>SUM(H37:P37)</f>
        <v>2305.61</v>
      </c>
      <c r="R37" s="42">
        <v>10838.76</v>
      </c>
      <c r="S37" s="45" t="s">
        <v>59</v>
      </c>
    </row>
    <row r="38" spans="1:19" ht="11.25" customHeight="1">
      <c r="A38" s="72">
        <v>2012</v>
      </c>
      <c r="B38" s="71">
        <v>22</v>
      </c>
      <c r="C38" s="77"/>
      <c r="D38" s="43">
        <v>1106.8399999999999</v>
      </c>
      <c r="E38" s="91" t="s">
        <v>52</v>
      </c>
      <c r="F38" s="42">
        <v>131</v>
      </c>
      <c r="G38" s="45"/>
      <c r="H38" s="43">
        <f>F38+D38</f>
        <v>1237.8399999999999</v>
      </c>
      <c r="I38" s="43">
        <v>200</v>
      </c>
      <c r="J38" s="45"/>
      <c r="K38" s="43">
        <v>128</v>
      </c>
      <c r="L38" s="43"/>
      <c r="M38" s="43">
        <v>275</v>
      </c>
      <c r="N38" s="43">
        <v>0</v>
      </c>
      <c r="O38" s="43">
        <v>200</v>
      </c>
      <c r="P38" s="43">
        <v>0</v>
      </c>
      <c r="Q38" s="42">
        <f>SUM(H38:P38)</f>
        <v>2040.84</v>
      </c>
      <c r="R38" s="42">
        <v>10514.9</v>
      </c>
      <c r="S38" s="45" t="s">
        <v>57</v>
      </c>
    </row>
    <row r="39" spans="1:19" ht="11.25" customHeight="1">
      <c r="A39" s="72">
        <v>2013</v>
      </c>
      <c r="B39" s="71">
        <v>22</v>
      </c>
      <c r="D39" s="44">
        <v>1425.3</v>
      </c>
      <c r="F39" s="44">
        <v>142</v>
      </c>
      <c r="H39" s="43">
        <f>F39+D39</f>
        <v>1567.3</v>
      </c>
      <c r="I39" s="42">
        <v>220</v>
      </c>
      <c r="J39" s="91" t="s">
        <v>53</v>
      </c>
      <c r="K39" s="42">
        <v>35</v>
      </c>
      <c r="Q39" s="42">
        <f>SUM(H39:P39)</f>
        <v>1822.3</v>
      </c>
      <c r="R39" s="43">
        <v>5048.83</v>
      </c>
    </row>
    <row r="40" spans="1:19" ht="3.75" customHeight="1">
      <c r="A40" s="72"/>
      <c r="D40" s="42"/>
      <c r="E40" s="42"/>
      <c r="F40" s="42"/>
      <c r="G40" s="42"/>
      <c r="Q40" s="42"/>
    </row>
    <row r="41" spans="1:19" ht="14.25" customHeight="1">
      <c r="A41" s="78" t="s">
        <v>17</v>
      </c>
      <c r="B41" s="89">
        <f>SUM(B9:B39)-10</f>
        <v>310</v>
      </c>
      <c r="C41" s="92" t="s">
        <v>33</v>
      </c>
      <c r="D41" s="79">
        <f>SUM(D9:D39)</f>
        <v>10126.111999999999</v>
      </c>
      <c r="E41" s="79"/>
      <c r="F41" s="79">
        <f>SUM(F9:F40)</f>
        <v>2290.2329999999997</v>
      </c>
      <c r="G41" s="79"/>
      <c r="H41" s="79">
        <f>F41+D41-0.01</f>
        <v>12416.334999999999</v>
      </c>
      <c r="I41" s="79">
        <f>SUM(I9:I40)</f>
        <v>2877.0070000000001</v>
      </c>
      <c r="J41" s="79"/>
      <c r="K41" s="79">
        <f>SUM(K9:K40)</f>
        <v>1323.81</v>
      </c>
      <c r="L41" s="79"/>
      <c r="M41" s="79">
        <f>SUM(M9:M40)</f>
        <v>560</v>
      </c>
      <c r="N41" s="80">
        <f>SUM(N9:N40)</f>
        <v>1000</v>
      </c>
      <c r="O41" s="80">
        <f>SUM(O9:O40)</f>
        <v>200</v>
      </c>
      <c r="P41" s="80">
        <f>SUM(P9:P40)</f>
        <v>2</v>
      </c>
      <c r="Q41" s="80">
        <f>SUM(Q9:Q40)</f>
        <v>18379.162</v>
      </c>
      <c r="R41" s="79">
        <f>SUM(R9:R40)-0.01</f>
        <v>88540.875</v>
      </c>
    </row>
    <row r="42" spans="1:19" ht="11.25" customHeight="1">
      <c r="A42" s="81" t="s">
        <v>10</v>
      </c>
      <c r="B42" s="82"/>
      <c r="C42" s="82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4"/>
      <c r="O42" s="84"/>
      <c r="P42" s="84"/>
      <c r="Q42" s="83"/>
      <c r="S42" s="44">
        <f>1125+200+429</f>
        <v>1754</v>
      </c>
    </row>
    <row r="43" spans="1:19" ht="11.25" customHeight="1">
      <c r="A43" s="45" t="s">
        <v>35</v>
      </c>
    </row>
    <row r="44" spans="1:19" ht="11.25" customHeight="1">
      <c r="A44" s="45" t="s">
        <v>37</v>
      </c>
    </row>
    <row r="45" spans="1:19" ht="11.25" customHeight="1">
      <c r="A45" s="45" t="s">
        <v>41</v>
      </c>
    </row>
    <row r="46" spans="1:19" ht="11.25" customHeight="1">
      <c r="A46" s="45" t="s">
        <v>39</v>
      </c>
    </row>
    <row r="47" spans="1:19" ht="11.25" customHeight="1">
      <c r="A47" s="45" t="s">
        <v>42</v>
      </c>
    </row>
    <row r="48" spans="1:19" s="85" customFormat="1" ht="11.25" customHeight="1">
      <c r="A48" s="90" t="s">
        <v>50</v>
      </c>
      <c r="B48" s="86"/>
      <c r="C48" s="86"/>
      <c r="D48" s="87"/>
      <c r="E48" s="87"/>
      <c r="F48" s="87"/>
      <c r="G48" s="87"/>
      <c r="H48" s="83"/>
      <c r="I48" s="83"/>
      <c r="J48" s="83"/>
      <c r="K48" s="83"/>
      <c r="L48" s="83"/>
      <c r="M48" s="83"/>
      <c r="N48" s="84"/>
      <c r="O48" s="84"/>
      <c r="P48" s="84"/>
      <c r="Q48" s="87"/>
    </row>
    <row r="49" spans="1:1" ht="11.25" customHeight="1">
      <c r="A49" s="45" t="s">
        <v>54</v>
      </c>
    </row>
    <row r="50" spans="1:1" ht="11.25" customHeight="1">
      <c r="A50" s="45" t="s">
        <v>55</v>
      </c>
    </row>
  </sheetData>
  <mergeCells count="2">
    <mergeCell ref="I5:J5"/>
    <mergeCell ref="I6:J6"/>
  </mergeCells>
  <phoneticPr fontId="2" type="noConversion"/>
  <printOptions horizontalCentered="1"/>
  <pageMargins left="0.5" right="0.5" top="1.33858267716535" bottom="0.94488188976377996" header="0.511811023622047" footer="0.5"/>
  <pageSetup scale="75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stat-annex12</vt:lpstr>
      <vt:lpstr>T11-1205chartdetails</vt:lpstr>
      <vt:lpstr>details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details!Print_Area</vt:lpstr>
      <vt:lpstr>'stat-annex12'!Print_Area</vt:lpstr>
      <vt:lpstr>'T11-1205chartdetails'!Print_Area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Nonsovereign Commitments by Year, Ordinary Capital Resources, 2007–2017 (amounts in $ million)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commitments, nonsovereign, private sector</cp:keywords>
  <dc:description/>
  <cp:lastModifiedBy>Angelo Jacinto</cp:lastModifiedBy>
  <cp:lastPrinted>2018-04-10T02:06:38Z</cp:lastPrinted>
  <dcterms:created xsi:type="dcterms:W3CDTF">1999-01-24T03:13:28Z</dcterms:created>
  <dcterms:modified xsi:type="dcterms:W3CDTF">2018-04-20T03:06:33Z</dcterms:modified>
  <cp:category/>
</cp:coreProperties>
</file>