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autoCompressPictures="0" defaultThemeVersion="124226"/>
  <mc:AlternateContent xmlns:mc="http://schemas.openxmlformats.org/markup-compatibility/2006">
    <mc:Choice Requires="x15">
      <x15ac:absPath xmlns:x15ac="http://schemas.microsoft.com/office/spreadsheetml/2010/11/ac" url="C:\Users\Aldwin Sutarez\Downloads\OD Excel\"/>
    </mc:Choice>
  </mc:AlternateContent>
  <xr:revisionPtr revIDLastSave="0" documentId="13_ncr:1_{2AE98F27-5EFD-4564-BCAC-6247FE199DA1}" xr6:coauthVersionLast="47" xr6:coauthVersionMax="47" xr10:uidLastSave="{00000000-0000-0000-0000-000000000000}"/>
  <bookViews>
    <workbookView xWindow="-120" yWindow="-120" windowWidth="20730" windowHeight="11040" xr2:uid="{00000000-000D-0000-FFFF-FFFF00000000}"/>
  </bookViews>
  <sheets>
    <sheet name="Grants" sheetId="3" r:id="rId1"/>
  </sheets>
  <definedNames>
    <definedName name="_xlnm.Print_Area" localSheetId="0">Grants!$A$1:$F$362</definedName>
    <definedName name="_xlnm.Print_Titles" localSheetId="0">Grants!$9:$10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3" i="3" l="1"/>
  <c r="F352" i="3"/>
  <c r="F351" i="3"/>
  <c r="D347" i="3"/>
  <c r="D346" i="3"/>
  <c r="D345" i="3"/>
  <c r="D344" i="3"/>
  <c r="F340" i="3"/>
  <c r="F341" i="3" s="1"/>
  <c r="D336" i="3"/>
  <c r="D335" i="3"/>
  <c r="D331" i="3"/>
  <c r="D332" i="3" s="1"/>
  <c r="D327" i="3"/>
  <c r="D326" i="3"/>
  <c r="D322" i="3"/>
  <c r="D323" i="3" s="1"/>
  <c r="D317" i="3"/>
  <c r="D316" i="3"/>
  <c r="F315" i="3"/>
  <c r="F314" i="3"/>
  <c r="D311" i="3"/>
  <c r="D310" i="3"/>
  <c r="D306" i="3"/>
  <c r="D305" i="3"/>
  <c r="D304" i="3"/>
  <c r="D303" i="3"/>
  <c r="D302" i="3"/>
  <c r="D301" i="3"/>
  <c r="F300" i="3"/>
  <c r="F299" i="3"/>
  <c r="F298" i="3"/>
  <c r="F297" i="3"/>
  <c r="F293" i="3"/>
  <c r="F292" i="3"/>
  <c r="F291" i="3"/>
  <c r="F287" i="3"/>
  <c r="F288" i="3" s="1"/>
  <c r="D283" i="3"/>
  <c r="D284" i="3" s="1"/>
  <c r="F279" i="3"/>
  <c r="F280" i="3" s="1"/>
  <c r="D274" i="3"/>
  <c r="D273" i="3"/>
  <c r="D272" i="3"/>
  <c r="D271" i="3"/>
  <c r="D270" i="3"/>
  <c r="D269" i="3"/>
  <c r="D268" i="3"/>
  <c r="D267" i="3"/>
  <c r="D263" i="3"/>
  <c r="D262" i="3"/>
  <c r="D264" i="3" s="1"/>
  <c r="D258" i="3"/>
  <c r="D257" i="3"/>
  <c r="D256" i="3"/>
  <c r="D255" i="3"/>
  <c r="D254" i="3"/>
  <c r="D259" i="3" s="1"/>
  <c r="D253" i="3"/>
  <c r="D252" i="3"/>
  <c r="F249" i="3"/>
  <c r="D248" i="3"/>
  <c r="F247" i="3"/>
  <c r="D246" i="3"/>
  <c r="D242" i="3"/>
  <c r="D241" i="3"/>
  <c r="D240" i="3"/>
  <c r="D239" i="3"/>
  <c r="D238" i="3"/>
  <c r="D237" i="3"/>
  <c r="D236" i="3"/>
  <c r="D235" i="3"/>
  <c r="D234" i="3"/>
  <c r="D233" i="3"/>
  <c r="F232" i="3"/>
  <c r="F243" i="3" s="1"/>
  <c r="D231" i="3"/>
  <c r="D230" i="3"/>
  <c r="D229" i="3"/>
  <c r="D243" i="3" s="1"/>
  <c r="D225" i="3"/>
  <c r="D226" i="3" s="1"/>
  <c r="D221" i="3"/>
  <c r="D220" i="3"/>
  <c r="D219" i="3"/>
  <c r="D218" i="3"/>
  <c r="D217" i="3"/>
  <c r="D216" i="3"/>
  <c r="D215" i="3"/>
  <c r="D211" i="3"/>
  <c r="F210" i="3"/>
  <c r="D209" i="3"/>
  <c r="D208" i="3"/>
  <c r="F207" i="3"/>
  <c r="D206" i="3"/>
  <c r="D205" i="3"/>
  <c r="D201" i="3"/>
  <c r="D200" i="3"/>
  <c r="D199" i="3"/>
  <c r="F198" i="3"/>
  <c r="F202" i="3" s="1"/>
  <c r="D197" i="3"/>
  <c r="D196" i="3"/>
  <c r="D195" i="3"/>
  <c r="D191" i="3"/>
  <c r="D192" i="3" s="1"/>
  <c r="D187" i="3"/>
  <c r="D186" i="3"/>
  <c r="D185" i="3"/>
  <c r="D184" i="3"/>
  <c r="D183" i="3"/>
  <c r="D178" i="3"/>
  <c r="D179" i="3" s="1"/>
  <c r="D174" i="3"/>
  <c r="D173" i="3"/>
  <c r="D172" i="3"/>
  <c r="D171" i="3"/>
  <c r="D170" i="3"/>
  <c r="D166" i="3"/>
  <c r="D167" i="3" s="1"/>
  <c r="D162" i="3"/>
  <c r="D161" i="3"/>
  <c r="D160" i="3"/>
  <c r="D156" i="3"/>
  <c r="D155" i="3"/>
  <c r="D154" i="3"/>
  <c r="D150" i="3"/>
  <c r="D149" i="3"/>
  <c r="D148" i="3"/>
  <c r="D147" i="3"/>
  <c r="D146" i="3"/>
  <c r="D145" i="3"/>
  <c r="D144" i="3"/>
  <c r="D143" i="3"/>
  <c r="D142" i="3"/>
  <c r="D141" i="3"/>
  <c r="D140" i="3"/>
  <c r="D139" i="3"/>
  <c r="D138" i="3"/>
  <c r="D137" i="3"/>
  <c r="D136" i="3"/>
  <c r="D135" i="3"/>
  <c r="D134" i="3"/>
  <c r="F130" i="3"/>
  <c r="F131" i="3" s="1"/>
  <c r="D126" i="3"/>
  <c r="D125" i="3"/>
  <c r="D124" i="3"/>
  <c r="D123" i="3"/>
  <c r="D122" i="3"/>
  <c r="D121" i="3"/>
  <c r="D120" i="3"/>
  <c r="D119" i="3"/>
  <c r="D118" i="3"/>
  <c r="D117" i="3"/>
  <c r="D116" i="3"/>
  <c r="F115" i="3"/>
  <c r="D114" i="3"/>
  <c r="F113" i="3"/>
  <c r="F112" i="3"/>
  <c r="D111" i="3"/>
  <c r="D110" i="3"/>
  <c r="D109" i="3"/>
  <c r="F108" i="3"/>
  <c r="D107" i="3"/>
  <c r="D106" i="3"/>
  <c r="F105" i="3"/>
  <c r="D104" i="3"/>
  <c r="D103" i="3"/>
  <c r="D102" i="3"/>
  <c r="D101" i="3"/>
  <c r="D100" i="3"/>
  <c r="D99" i="3"/>
  <c r="F98" i="3"/>
  <c r="F97" i="3"/>
  <c r="F96" i="3"/>
  <c r="D95" i="3"/>
  <c r="F94" i="3"/>
  <c r="D90" i="3"/>
  <c r="F89" i="3"/>
  <c r="F88" i="3"/>
  <c r="F87" i="3"/>
  <c r="D86" i="3"/>
  <c r="F85" i="3"/>
  <c r="F84" i="3"/>
  <c r="D80" i="3"/>
  <c r="D79" i="3"/>
  <c r="D75" i="3"/>
  <c r="D74" i="3"/>
  <c r="D73" i="3"/>
  <c r="D68" i="3"/>
  <c r="D69" i="3" s="1"/>
  <c r="D64" i="3"/>
  <c r="D65" i="3" s="1"/>
  <c r="D60" i="3"/>
  <c r="D61" i="3" s="1"/>
  <c r="D56" i="3"/>
  <c r="D57" i="3" s="1"/>
  <c r="F55" i="3"/>
  <c r="F57" i="3" s="1"/>
  <c r="D50" i="3"/>
  <c r="D52" i="3" s="1"/>
  <c r="F49" i="3"/>
  <c r="F48" i="3"/>
  <c r="F47" i="3"/>
  <c r="F46" i="3"/>
  <c r="F45" i="3"/>
  <c r="F44" i="3"/>
  <c r="D40" i="3"/>
  <c r="D41" i="3" s="1"/>
  <c r="D36" i="3"/>
  <c r="D37" i="3" s="1"/>
  <c r="D32" i="3"/>
  <c r="D33" i="3" s="1"/>
  <c r="D28" i="3"/>
  <c r="D29" i="3" s="1"/>
  <c r="D24" i="3"/>
  <c r="D23" i="3"/>
  <c r="D22" i="3"/>
  <c r="D21" i="3"/>
  <c r="F20" i="3"/>
  <c r="F19" i="3"/>
  <c r="F18" i="3"/>
  <c r="F17" i="3"/>
  <c r="D16" i="3"/>
  <c r="D15" i="3"/>
  <c r="F14" i="3"/>
  <c r="F13" i="3"/>
  <c r="D91" i="3" l="1"/>
  <c r="D76" i="3"/>
  <c r="F294" i="3"/>
  <c r="F318" i="3"/>
  <c r="D328" i="3"/>
  <c r="F52" i="3"/>
  <c r="D157" i="3"/>
  <c r="D81" i="3"/>
  <c r="F212" i="3"/>
  <c r="D275" i="3"/>
  <c r="D312" i="3"/>
  <c r="D318" i="3"/>
  <c r="F354" i="3"/>
  <c r="D25" i="3"/>
  <c r="D212" i="3"/>
  <c r="F181" i="3"/>
  <c r="F25" i="3"/>
  <c r="D151" i="3"/>
  <c r="D163" i="3"/>
  <c r="D175" i="3"/>
  <c r="D202" i="3"/>
  <c r="D337" i="3"/>
  <c r="D348" i="3"/>
  <c r="F127" i="3"/>
  <c r="D188" i="3"/>
  <c r="F307" i="3"/>
  <c r="F277" i="3" s="1"/>
  <c r="F91" i="3"/>
  <c r="D127" i="3"/>
  <c r="D71" i="3" s="1"/>
  <c r="D222" i="3"/>
  <c r="D249" i="3"/>
  <c r="D307" i="3"/>
  <c r="D11" i="3"/>
  <c r="D277" i="3" l="1"/>
  <c r="F71" i="3"/>
  <c r="F11" i="3"/>
  <c r="D181" i="3"/>
</calcChain>
</file>

<file path=xl/sharedStrings.xml><?xml version="1.0" encoding="utf-8"?>
<sst xmlns="http://schemas.openxmlformats.org/spreadsheetml/2006/main" count="513" uniqueCount="256">
  <si>
    <t>Project Name</t>
  </si>
  <si>
    <t>New Zealand</t>
  </si>
  <si>
    <t>Australia</t>
  </si>
  <si>
    <t>Bangladesh</t>
  </si>
  <si>
    <t>India</t>
  </si>
  <si>
    <t>Nepal</t>
  </si>
  <si>
    <t>Indonesia</t>
  </si>
  <si>
    <t>Philippines</t>
  </si>
  <si>
    <t>TOTAL</t>
  </si>
  <si>
    <t>Pakistan</t>
  </si>
  <si>
    <t>Global Environment Facility</t>
  </si>
  <si>
    <t>Regional</t>
  </si>
  <si>
    <t>Source of Cofinancing</t>
  </si>
  <si>
    <t>Technical Assistance</t>
  </si>
  <si>
    <t>Project Component</t>
  </si>
  <si>
    <t>World Bank</t>
  </si>
  <si>
    <t xml:space="preserve">Amount </t>
  </si>
  <si>
    <t>Mongolia</t>
  </si>
  <si>
    <t>United States</t>
  </si>
  <si>
    <t>($’000)</t>
  </si>
  <si>
    <t>Subtotal</t>
  </si>
  <si>
    <t>Uzbekistan</t>
  </si>
  <si>
    <t>Sri Lanka</t>
  </si>
  <si>
    <t>Republic of Korea e-Asia and Knowledge Partnership Fund</t>
  </si>
  <si>
    <t>Austria</t>
  </si>
  <si>
    <t>Bhutan</t>
  </si>
  <si>
    <t>Armenia</t>
  </si>
  <si>
    <t>Accelerating Innovation in Transport (Supplementary)</t>
  </si>
  <si>
    <t>Strategic Climate Fund</t>
  </si>
  <si>
    <t>Solomon Islands</t>
  </si>
  <si>
    <t>Viet Nam</t>
  </si>
  <si>
    <t>Note: Numbers may not sum precisely because of rounding.</t>
  </si>
  <si>
    <t>Fiji</t>
  </si>
  <si>
    <t>Thailand</t>
  </si>
  <si>
    <t>TRUST FUNDS, Single Partner</t>
  </si>
  <si>
    <t>Vanuatu</t>
  </si>
  <si>
    <t>Japan Fund for Prosperous and Resilient Asia and the Pacific</t>
  </si>
  <si>
    <t>Japan Fund for the Joint Crediting Mechanism</t>
  </si>
  <si>
    <t>Clean Energy Fund under the Clean Energy Financing Partnership Facility</t>
  </si>
  <si>
    <t>Clean Technology Fund</t>
  </si>
  <si>
    <t>European Union</t>
  </si>
  <si>
    <t>Kiribati</t>
  </si>
  <si>
    <r>
      <rPr>
        <vertAlign val="superscript"/>
        <sz val="8"/>
        <rFont val="Arial"/>
        <family val="2"/>
      </rPr>
      <t xml:space="preserve">a  </t>
    </r>
    <r>
      <rPr>
        <sz val="8"/>
        <rFont val="Arial"/>
        <family val="2"/>
      </rPr>
      <t>Includes project-specific cofinancing from multilateral organizations, including global funds.</t>
    </r>
  </si>
  <si>
    <t>Tonga</t>
  </si>
  <si>
    <t>Tuvalu</t>
  </si>
  <si>
    <t>France</t>
  </si>
  <si>
    <t>Nauru</t>
  </si>
  <si>
    <t>Switzerland</t>
  </si>
  <si>
    <t>United Kingdom</t>
  </si>
  <si>
    <t>Maldives</t>
  </si>
  <si>
    <t>Azerbaijan</t>
  </si>
  <si>
    <t>Spanish Cooperation Fund for Technical Assistance</t>
  </si>
  <si>
    <t>Smart and Livable Cities in Southeast Asia (Supplementary)</t>
  </si>
  <si>
    <t>Asia-Pacific Climate Finance Fund</t>
  </si>
  <si>
    <t>High-Level Technology Fund</t>
  </si>
  <si>
    <t>Urban Resilience Trust Fund under the Urban Financing Partnership Facility</t>
  </si>
  <si>
    <t>Water Innovation Trust Fund under the Water Financing Partnership Facility</t>
  </si>
  <si>
    <t>Water Resilience Trust Fund under the Water Financing Partnership Facility</t>
  </si>
  <si>
    <t>International Fund for Agricultural Development</t>
  </si>
  <si>
    <t xml:space="preserve">OPEC Fund for International Development </t>
  </si>
  <si>
    <t>Women Entrepreneurs Finance Initiative</t>
  </si>
  <si>
    <t>South Asia Subregional Economic Cooperation Electricity 
   Transmission and Distribution Strengthening</t>
  </si>
  <si>
    <t>Digital Solutions to Improve Agricultural Value Chains 
   (Supplementary)</t>
  </si>
  <si>
    <t>Enhancing Small and Medium-Sized Enterprises Financial 
   Services Outreach (Supplementary)</t>
  </si>
  <si>
    <r>
      <rPr>
        <vertAlign val="superscript"/>
        <sz val="8"/>
        <rFont val="Arial"/>
        <family val="2"/>
      </rPr>
      <t xml:space="preserve">b  </t>
    </r>
    <r>
      <rPr>
        <sz val="8"/>
        <rFont val="Arial"/>
        <family val="2"/>
      </rPr>
      <t>Under the Pilot Program for Climate Resilience.</t>
    </r>
  </si>
  <si>
    <t>Lao PDR</t>
  </si>
  <si>
    <t>Projects Involving Sovereign Grant Cofinancing, 2024</t>
  </si>
  <si>
    <t>Cambodia</t>
  </si>
  <si>
    <t>Samoa</t>
  </si>
  <si>
    <t>Timor-Leste</t>
  </si>
  <si>
    <t xml:space="preserve">Rural Resilience and Livelihood Improvement Sector </t>
  </si>
  <si>
    <t>Improving Economic Management Program—Subprogram 1</t>
  </si>
  <si>
    <t>Ireland</t>
  </si>
  <si>
    <t>Improving Fiscal Sustainability Program—Subprogram 1</t>
  </si>
  <si>
    <t>Funafuti Water Supply and Sanitation</t>
  </si>
  <si>
    <t>Norway</t>
  </si>
  <si>
    <t>GEAPP Energy Access and Transition Trust Fund</t>
  </si>
  <si>
    <t>South Tarawa Renewable Energy—Phase 2</t>
  </si>
  <si>
    <t xml:space="preserve">Climate-Resilient Energy and Water Sector </t>
  </si>
  <si>
    <t>Niue</t>
  </si>
  <si>
    <t xml:space="preserve">Clean and Resilient Energy Development Support </t>
  </si>
  <si>
    <t xml:space="preserve">Sustainable Highlands Region Core Road Network </t>
  </si>
  <si>
    <t>Alaoa Multipurpose Dam</t>
  </si>
  <si>
    <t>Climate-Adaptive Food Security Enhancement</t>
  </si>
  <si>
    <t>Improving Health Care Quality and Outcomes</t>
  </si>
  <si>
    <t>Seismic Safety Enhancement</t>
  </si>
  <si>
    <t xml:space="preserve">Piloting Inclusive Services for Vulnerable Groups </t>
  </si>
  <si>
    <t>Malaysia</t>
  </si>
  <si>
    <t>Enhancing Climate Resilience and Food Security</t>
  </si>
  <si>
    <t>Green and Resilience Financing Facility Investment Program</t>
  </si>
  <si>
    <t>Kathmandu Valley Water Supply Improvement—Phase 2</t>
  </si>
  <si>
    <t>Public Investments Implementation Performance Improvement</t>
  </si>
  <si>
    <t>Supporting the Delivery of Skills Development</t>
  </si>
  <si>
    <t>Building Knowledge and Capacity for Water Resilience</t>
  </si>
  <si>
    <t>Palau</t>
  </si>
  <si>
    <t>ADB-Korea Climate Technology Hub</t>
  </si>
  <si>
    <t>Advance Sustainable Clean Energy Network for Development</t>
  </si>
  <si>
    <t>Digital Development Facility for Asia and the Pacific—Phase 2</t>
  </si>
  <si>
    <t xml:space="preserve">Project Preparation and Implementation Support Trust Fund </t>
  </si>
  <si>
    <t>Sanitation Financing Partnership Trust Fund under the Water Financing Partnership Facility</t>
  </si>
  <si>
    <t>Kyrgyz Republic</t>
  </si>
  <si>
    <t>Preparing the Climate-Resilient Agriculture Facility</t>
  </si>
  <si>
    <t>Asia Pacific Project Preparation Facility</t>
  </si>
  <si>
    <t>Scaling Up Distributed Solar Deployment</t>
  </si>
  <si>
    <t>Power Sector Enhancement for Fiscal Sustainability</t>
  </si>
  <si>
    <t>Energy Transition Support Program</t>
  </si>
  <si>
    <t>Grid Enhancement for Sustainable Energy Transition</t>
  </si>
  <si>
    <t>Accelerating Clean Energy Transition in Asia and the Pacific</t>
  </si>
  <si>
    <t>Community Resilience Partnership Program Trust Fund</t>
  </si>
  <si>
    <t>Preparing the Building Resilience and Reducing Rural Poverty</t>
  </si>
  <si>
    <t>Climate-Resilient Landscapes and Livelihoods</t>
  </si>
  <si>
    <t>Domestic Resource Mobilization Trust Fund</t>
  </si>
  <si>
    <t>Pacific Economic Management—Phase 3 (Supplementary)</t>
  </si>
  <si>
    <t>Preparing for the Lake Yerevan and Hrazdan Gorge Rejuvenation</t>
  </si>
  <si>
    <t>Flood and Drought Mitigation and Management Sector</t>
  </si>
  <si>
    <t>Supporting Innovative and Sustainable Financing (Supplementary)</t>
  </si>
  <si>
    <t xml:space="preserve">Ocean Resilience and Coastal Adaptation Trust Fund </t>
  </si>
  <si>
    <t>Improving Governance for Urban and Water Service Providers</t>
  </si>
  <si>
    <t>Southeast Asia Resilient and Water Secure Cities Facility</t>
  </si>
  <si>
    <t>India Urban and Water Projects Support Facility (Supplementary)</t>
  </si>
  <si>
    <r>
      <t>MULTILATERALS</t>
    </r>
    <r>
      <rPr>
        <b/>
        <vertAlign val="superscript"/>
        <sz val="9"/>
        <color rgb="FF000000"/>
        <rFont val="Arial"/>
        <family val="2"/>
      </rPr>
      <t>a</t>
    </r>
  </si>
  <si>
    <t xml:space="preserve">Asian Infrastructure Investment Bank </t>
  </si>
  <si>
    <t xml:space="preserve">Integrated Water Resources Management </t>
  </si>
  <si>
    <t>European Investment Bank</t>
  </si>
  <si>
    <t>Marshall Islands</t>
  </si>
  <si>
    <t>Energy Transition</t>
  </si>
  <si>
    <t>Increasing Access to Renewable Energy—Additional Financing</t>
  </si>
  <si>
    <t xml:space="preserve">Global Partnership for Education </t>
  </si>
  <si>
    <t>Supporting Education Sector Projects (Supplementary)</t>
  </si>
  <si>
    <t>Preparing Pacific Education Sector Projects (Supplementary)</t>
  </si>
  <si>
    <t xml:space="preserve">Green Climate Fund </t>
  </si>
  <si>
    <t>Building Resilience and Reducing Rural Poverty</t>
  </si>
  <si>
    <t>Implementing the E-Mobility Program</t>
  </si>
  <si>
    <t>COP29 Capacity Development (Supplementary)</t>
  </si>
  <si>
    <t>The Pacific Community</t>
  </si>
  <si>
    <t xml:space="preserve">Tonga </t>
  </si>
  <si>
    <t>ADB = Asian Development Bank, ASEAN = Association of Southeast Asian Nations, CAREC = Central Asia Regional Economic Cooperation, COP29 = 29th Conference of the Parties to the United Nations Framework Convention on Climate Change, COVID-19 = coronavirus disease, GEAPP = Global Energy Alliance for People and Planet, Lao PDR = Lao People's Democratic Republic, OPEC = Organization of the Petroleum Exporting Countries.</t>
  </si>
  <si>
    <t>Strengthening Country Systems for Prevention and Response 
   to Gender-Based Violence</t>
  </si>
  <si>
    <t>Sustainable Infrastructure Assistance Program Phase II—
   Supporting Green and Affordable Housing Finance 
   (Subproject 8)</t>
  </si>
  <si>
    <t>Sustainable Infrastructure Assistance Program Phase II—
   Support to the Preparation of Citywide Inclusive Sanitation 
   (Subproject 9) (Supplementary)</t>
  </si>
  <si>
    <t>Strengthening Macroeconomic Resilience Program—
   Subprogram 2</t>
  </si>
  <si>
    <t>Supporting Fiscal and Economic Recovery Program—
   Subprogram 2</t>
  </si>
  <si>
    <t>Aid for Trade for Inclusive Growth, 2023–2025 (Subproject 3) 
   (Supplementary)</t>
  </si>
  <si>
    <t>Pacific Private Sector Development Initiative—Phase IV 
   (Supplementary)</t>
  </si>
  <si>
    <t>Pacific Region Infrastructure Facility Coordination Office—
   For Quality, Climate, and Socioeconomic Resilient 
   Infrastructure (Supplementary)</t>
  </si>
  <si>
    <t>Enhancing Outcomes of the Nature Solutions Finance Hub 
   for Asia and the Pacific</t>
  </si>
  <si>
    <t>Bridging the Gap Between Climate Adaptation Planning 
   and Financing (Supplementary)</t>
  </si>
  <si>
    <t>Strengthening the Asia Pacific Public Electronic Procurement 
   Network—Phase 2 (Supplementary)</t>
  </si>
  <si>
    <t>Improving Pacific Public Financial Management Facility 
   (Supplementary)</t>
  </si>
  <si>
    <t>South Asia Subregional Economic Cooperation Power 
   Transmission and Distribution System Strengthening 
   (Supplementary)</t>
  </si>
  <si>
    <t>Building Adaptation and Resilience in the Hindu Kush 
   Himalayas―Bhutan and Nepal (Supplementary)</t>
  </si>
  <si>
    <t>Strengthening Public Procurement and Financial Management 
   Capacity</t>
  </si>
  <si>
    <t>Advancing Energy Transition and Regional Power Trade in 
   the Greater Mekong Subregion and Southeast Asia</t>
  </si>
  <si>
    <t>Promoting Climate-Resilient Rural Development and 
   Food Security in Southeast Asia (Supplementary)</t>
  </si>
  <si>
    <t>Enabling a Just Transition to Low-Carbon and Climate-Resilient 
   Economies and Societies in Asia and the Pacific 
   (Supplementary)</t>
  </si>
  <si>
    <t>Rural Water Supply, Sanitation, and Hygiene Improvement 
   Sector Development Program</t>
  </si>
  <si>
    <t>Preparing the Early Childhood Development Project 
   in Meghalaya</t>
  </si>
  <si>
    <t>Improving the Spending Efficiency of the National Health 
   Insurance System</t>
  </si>
  <si>
    <t>Supporting Health System Transformation for Improved 
   Primary Care</t>
  </si>
  <si>
    <t>Institutional Strengthening and Capacity Development of 
   the Urban Water Supply and Sanitation Sector</t>
  </si>
  <si>
    <t>Strengthening Medical Equipment Management in 
   the Lao PDR</t>
  </si>
  <si>
    <t>Developing Green City Action Plans to Accelerate 
   Post-COVID-19 Competitiveness and Resilience—
   City Batch 1 (Supplementary)</t>
  </si>
  <si>
    <t>Strengthening Soum Center Infrastructure and 
   Green Development</t>
  </si>
  <si>
    <t>Supporting Sustainable Forest Development in 
   Papua New Guinea</t>
  </si>
  <si>
    <t>Precision Agriculture for Resilient Commercial 
   Horticulture Sector</t>
  </si>
  <si>
    <t>Preparing the Resilient Amu Darya River Basin Sector 
   Development Program</t>
  </si>
  <si>
    <t>Child and Adolescent Nutrition: Challenges and Impact 
   of Public Interventions</t>
  </si>
  <si>
    <t>Developing Local Currency Bond Markets for a 
   Sustainable Future</t>
  </si>
  <si>
    <t>Enhancing Asia and the Pacific's Readiness for Resilient 
   Disaster Recovery</t>
  </si>
  <si>
    <t>Promoting Learning and Innovation in Education 
   to Future-Proof the Workforce (Supplementary)</t>
  </si>
  <si>
    <t>Strengthening Regional Health Cooperation in 
   the Greater Mekong Subregion—Phase 2</t>
  </si>
  <si>
    <t>Support to Capacity Building and Implementation for 
   Cybersecurity in Developing Member Countries</t>
  </si>
  <si>
    <t>Disaster Resilient Clean Energy Financing—
   Additional Financing</t>
  </si>
  <si>
    <t>Support for Strengthening Multimodal and Integrated Logistics 
   Ecosystem (Supplementary)</t>
  </si>
  <si>
    <t>Road Subsector Development Strategy and Action Plan 
   (Supplementary)</t>
  </si>
  <si>
    <t>Advancing Just Energy Transition in Asia and the Pacific 
   (Supplementary)</t>
  </si>
  <si>
    <t>Developing Digital Financial Infrastructure and Enhancing 
   Financial Access for Resilience and Recovery in Asia and 
   the Pacific (Supplementary)</t>
  </si>
  <si>
    <t>Promoting Learning and Innovation in Education to Future-Proof 
   the Workforce (Supplementary)</t>
  </si>
  <si>
    <t>Strengthening Women’s Resilience to Heat Stress in Asia 
   and the Pacific (Supplementary)</t>
  </si>
  <si>
    <t>Supporting Human and Social Development in Southeast Asia 
   (Supplementary)</t>
  </si>
  <si>
    <t>Using Digital Technology to Improve National Health Financing 
   in Asia and the Pacific (Supplementary)</t>
  </si>
  <si>
    <t>Preparing the Mahaweli Water Security Investment Program 
   Stage 2</t>
  </si>
  <si>
    <t xml:space="preserve">Mainstreaming Climate Resilience and Inclusiveness 
   in Water Supply, Sanitation, and Hygiene Service Delivery </t>
  </si>
  <si>
    <t>Strengthening Resilient, Inclusive, and Smart Waste 
   Management in Indian Cities</t>
  </si>
  <si>
    <t>Accelerating Sanitation for All in Asia and the Pacific 
   (Supplementary)</t>
  </si>
  <si>
    <t>Advancing Energy Transition and Regional Power Trade 
   in the Greater Mekong Subregion and Southeast Asia</t>
  </si>
  <si>
    <t>Decarbonization of Hard-to-Abate Industrial and 
   Maritime Sectors</t>
  </si>
  <si>
    <t>Supporting Climate Resilience and Ecological Sustainability 
   Projects (Supplementary)</t>
  </si>
  <si>
    <t>Enhancing Disaster Risk Understanding and Resilience 
   (Supplementary)</t>
  </si>
  <si>
    <t>Strengthening Project Preparation Capacity in Asia and the 
   Pacific—Supporting Preparation of Infrastructure Projects 
   with Private Sector Participation in Asia Pacific (Subproject 4) 
   (Supplementary)</t>
  </si>
  <si>
    <t>Scaling Up Financing and Technology Innovations to Promote 
   Solar Energy in South Asia</t>
  </si>
  <si>
    <t>Second Strengthening Social Resilience Program 
   (Subprogram 1)</t>
  </si>
  <si>
    <t>Implementation Support to the Climate-Resilient Landscapes 
   and Livelihoods</t>
  </si>
  <si>
    <t>Developing Inclusive and Resilient Social Protection Systems 
   in Asia and the Pacific (Supplementary)</t>
  </si>
  <si>
    <t>Improving Transparency in Tax System and Exchange of 
   Information Practice</t>
  </si>
  <si>
    <t>Capacity Building to Indonesian Revenue Authorities on 
   Digital Infrastructure</t>
  </si>
  <si>
    <t>Preparing the Sustainable Fiscal Management and Governance 
   Improvement Program (Supplementary)</t>
  </si>
  <si>
    <t>Supporting Strengthening Public Financial Management 
   and Devolved Service Delivery Program—Subprogram 1 
   (Supplementary)</t>
  </si>
  <si>
    <t>Preparing the Improved Domestic Resource Mobilization 
   Reform Program (Supplementary)</t>
  </si>
  <si>
    <t>Supporting the Implementation of Cambodia Digital Government 
   Programs at Subnational Administrations</t>
  </si>
  <si>
    <t>Supporting the Transformation of the Indian Agriculture System 
   (Supplementary)</t>
  </si>
  <si>
    <t>Creating an Enabling Environment for Localizing the 
   Sustainable Development Goals in Asia and the Pacific 
   (Supplementary)</t>
  </si>
  <si>
    <t>Capacity Building for the Enhancing Climate Resilience and 
   Food Security</t>
  </si>
  <si>
    <t>Scaling Up Investments in Emerging Areas in the Water and 
   Urban Development Sector</t>
  </si>
  <si>
    <t>Strengthening Institutional Capacity for Sustainable Water 
   Sector Development</t>
  </si>
  <si>
    <t>Preparing Urban Development and Improvement Projects 
   (Supplementary)</t>
  </si>
  <si>
    <t>Empowering Developing Member Countries to Use 
   Multispectral Satellite Images and Artificial Intelligence 
   for Land Use and Coastal Planning (Supplementary)</t>
  </si>
  <si>
    <t>Integrating Climate Resilience in the Water Sector 
   (Supplementary)</t>
  </si>
  <si>
    <t>Pacific Urban Development Investment Project Enhancement 
   and Capacity Development Facility (Supplementary)</t>
  </si>
  <si>
    <t>Strengthening Capacity to Design and Implement Climate 
   Resilience Projects Facility (Supplementary)</t>
  </si>
  <si>
    <t>Enabling a Just Transition to Low-Carbon and Climate-Resilient 
   Economies and Societies in Asia and the Pacific  
   (Supplementary)</t>
  </si>
  <si>
    <t>Aimags and Soums Green Regional Development Investment 
   Program—Tranche 1</t>
  </si>
  <si>
    <t>Financing Agrochemical Reduction and Management 
   in Agri-Food Value Chains</t>
  </si>
  <si>
    <t>Enhancing Outcomes of the Nature Solutions Finance Hub for 
   Asia and the Pacific</t>
  </si>
  <si>
    <t>Toward Sustainable and Conversion-Free Aquaculture in 
   Southeast Asia</t>
  </si>
  <si>
    <t>Regional Support to Address the Outbreak of Coronavirus 
   Disease 2019 and Potential Outbreaks of Other 
   Communicable Diseases (Supplementary)</t>
  </si>
  <si>
    <r>
      <t>Strengthening Environmental Resilience and Fostering 
   Sustainable Economy for Lake Sevan (Supplementary)</t>
    </r>
    <r>
      <rPr>
        <vertAlign val="superscript"/>
        <sz val="9"/>
        <rFont val="Arial"/>
        <family val="2"/>
      </rPr>
      <t>b</t>
    </r>
  </si>
  <si>
    <r>
      <t>South Asia Subregional Economic Cooperation Electricity 
   Transmission and Distribution Strengthening (Supplementary)</t>
    </r>
    <r>
      <rPr>
        <vertAlign val="superscript"/>
        <sz val="9"/>
        <rFont val="Arial"/>
        <family val="2"/>
      </rPr>
      <t>c</t>
    </r>
  </si>
  <si>
    <t>Supporting Financial Sector Stability and Reforms Program 
   (Supplementary)</t>
  </si>
  <si>
    <t>Promoting Transformative Gender Equality Agenda in Asia 
   and the Pacific (Supplementary)</t>
  </si>
  <si>
    <t>Papua New 
   Guinea</t>
  </si>
  <si>
    <t>BILATERALS, Project-Specific</t>
  </si>
  <si>
    <t>Korea, Republic of</t>
  </si>
  <si>
    <t>Promoting Energy Transition Through Regional Cooperation 
   and Integration in South Asia (Supplementary)</t>
  </si>
  <si>
    <t>Accelerating Climate Transitions Through Green Finance 
   in Southeast Asia (Supplementary)</t>
  </si>
  <si>
    <t>Strengthening Universal Health Coverage Through 
   Health Insurance</t>
  </si>
  <si>
    <t>Creating Investable Cities in a Post-COVID-19 Asia and 
   the Pacific—Enhancing Competitiveness and Resilience 
   Through Quality Infrastructure (Supplementary)</t>
  </si>
  <si>
    <t>Supporting Climate-Resilient and Low-Carbon Health Systems 
   Through the Climate and Health Initiative: Strengthening the 
   Climate Resilience of Health Systems in Southeast Asia 
   (Subproject 2)</t>
  </si>
  <si>
    <t>Supporting Climate-Smart Urban Development Through City 
   Climate Action Planning</t>
  </si>
  <si>
    <t>Supporting Climate-Resilient and Low-Carbon Health Systems 
   Through the Climate and Health Initiative: Subproject 1—
   Leveraging the ADB Climate and Health Initiative to Strengthen 
   Low-Carbon and Resilient Health Systems in Urban Areas</t>
  </si>
  <si>
    <t>Enhancing Environmental Sustainability Through Inclusive, 
   Integrated Solutions (formerly Mainstreaming Circular 
   Economy Approaches for Sustainable Development) 
   (Supplementary)</t>
  </si>
  <si>
    <t>European Union–ASEAN Catalytic Green Finance Facility Trust Fund</t>
  </si>
  <si>
    <t>Enhancing Capacity to Design and Implement Energy Sector 
   Projects (Supplementary)</t>
  </si>
  <si>
    <t>Ireland Trust Fund for Building Climate Change and Disaster Resilience 
   in Small Island Developing States</t>
  </si>
  <si>
    <t>Micronesia, 
   Federated 
   States of</t>
  </si>
  <si>
    <t>Public–Private Partnership Capacity Building on Oversight and 
   Implementation, and Supporting Gender Mainstreaming</t>
  </si>
  <si>
    <t>Strengthening Resilient, Inclusive, and Smart Waste Management 
   in Indian Cities</t>
  </si>
  <si>
    <t>Digital Solutions for Optimizing Port Efficiency In 
   Developing Countries (Supplementary)</t>
  </si>
  <si>
    <t>Enhancement of Knowledge, Capacity, and Project 
   Implementation</t>
  </si>
  <si>
    <t>United Kingdom–ASEAN Catalytic Green Finance Facility Trust Fund</t>
  </si>
  <si>
    <t>Toward Plastic Pollution-Free and Sustainable Marine and 
   Coastal Ecosystems in Indonesia and the Philippines</t>
  </si>
  <si>
    <t>United Kingdom–Smart Energy Innovation Fund under the 
   Clean Energy Financing Partnership Facility</t>
  </si>
  <si>
    <t>TRUST FUNDS, Multipartner</t>
  </si>
  <si>
    <t>Developing a Disaster and Climate Risk Transfer Facility 
   in the CAREC Region—Phase 2</t>
  </si>
  <si>
    <t>Energy Transition Mechanism Partnership Trust Fund under the 
   Clean Energy Financing Partnership Facility</t>
  </si>
  <si>
    <t>Advancing Low-Emission Zones in Southeast Asia</t>
  </si>
  <si>
    <t>Supporting Improved Health Outcomes in Asia and the Pacific 
   (Supplementary)</t>
  </si>
  <si>
    <t>Preparing the Accelerating Solar-Powered Sustainable 
   Water Supply Services</t>
  </si>
  <si>
    <t>Developing Climate–Food–Nature Investments in the Pacific</t>
  </si>
  <si>
    <t xml:space="preserve">Pandemic Prevention, Preparedness, and Response </t>
  </si>
  <si>
    <t>Micronesia, 
   Federated
   States of</t>
  </si>
  <si>
    <r>
      <rPr>
        <vertAlign val="superscript"/>
        <sz val="8"/>
        <rFont val="Arial"/>
        <family val="2"/>
      </rPr>
      <t xml:space="preserve">c  </t>
    </r>
    <r>
      <rPr>
        <sz val="8"/>
        <rFont val="Arial"/>
        <family val="2"/>
      </rPr>
      <t>Under the Scaling Up Renewable Energy Program for Low-Income Countries.</t>
    </r>
  </si>
  <si>
    <t>Sustainable and Resilient Growth Program—Subprogram 1</t>
  </si>
  <si>
    <t>China, People's 
   Republic of</t>
  </si>
  <si>
    <t>Support for Human and Social Development in Southeast Asia—
   Phase 2 (Support for Post-COVID-19 Business and 
   Employment Recovery Program) (Supplementary)</t>
  </si>
  <si>
    <t>Support to Climate-Resilient Investment Pathways in the Pacific 
   (Supplementary)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</si>
</sst>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0.00_);_(* \(#,##0.00\);_(* &quot;-&quot;??_);_(@_)"/>
    <numFmt numFmtId="166" formatCode="_(* #,##0.0000_);_(* \(#,##0.0000\);_(* &quot;-&quot;??_);_(@_)"/>
  </numFmts>
  <fonts count="25" x14ac:knownFonts="1">
    <font>
      <sz val="11"/>
      <color theme="1"/>
      <name val="Calibri"/>
      <family val="2"/>
      <scheme val="minor"/>
    </font>
    <font>
      <sz val="11"/>
      <color theme="1"/>
      <name val="Calibri"/>
      <family val="2"/>
      <scheme val="minor"/>
    </font>
    <font>
      <sz val="8"/>
      <name val="Calibri"/>
      <family val="2"/>
      <scheme val="minor"/>
    </font>
    <font>
      <u/>
      <sz val="11"/>
      <color theme="10"/>
      <name val="Calibri"/>
      <family val="2"/>
      <scheme val="minor"/>
    </font>
    <font>
      <u/>
      <sz val="11"/>
      <color theme="11"/>
      <name val="Calibri"/>
      <family val="2"/>
      <scheme val="minor"/>
    </font>
    <font>
      <b/>
      <sz val="9"/>
      <name val="Arial"/>
      <family val="2"/>
    </font>
    <font>
      <sz val="9"/>
      <name val="Arial"/>
      <family val="2"/>
    </font>
    <font>
      <b/>
      <sz val="9"/>
      <color rgb="FF007DB7"/>
      <name val="Arial"/>
      <family val="2"/>
    </font>
    <font>
      <sz val="9"/>
      <color rgb="FF007DB7"/>
      <name val="Arial"/>
      <family val="2"/>
    </font>
    <font>
      <b/>
      <sz val="9"/>
      <name val="Arial"/>
      <family val="2"/>
    </font>
    <font>
      <sz val="9"/>
      <name val="Arial"/>
      <family val="2"/>
    </font>
    <font>
      <sz val="10"/>
      <color theme="1"/>
      <name val="Tahoma"/>
      <family val="2"/>
    </font>
    <font>
      <sz val="10"/>
      <name val="Arial"/>
      <family val="2"/>
    </font>
    <font>
      <sz val="9"/>
      <color theme="1"/>
      <name val="Arial"/>
      <family val="2"/>
    </font>
    <font>
      <sz val="9"/>
      <color rgb="FF0070C0"/>
      <name val="Arial"/>
      <family val="2"/>
    </font>
    <font>
      <sz val="9"/>
      <color theme="1"/>
      <name val="Calibri"/>
      <family val="2"/>
      <scheme val="minor"/>
    </font>
    <font>
      <sz val="8"/>
      <name val="Arial"/>
      <family val="2"/>
    </font>
    <font>
      <vertAlign val="superscript"/>
      <sz val="8"/>
      <name val="Arial"/>
      <family val="2"/>
    </font>
    <font>
      <vertAlign val="superscript"/>
      <sz val="9"/>
      <name val="Arial"/>
      <family val="2"/>
    </font>
    <font>
      <sz val="9"/>
      <color rgb="FF0000FF"/>
      <name val="Arial"/>
      <family val="2"/>
    </font>
    <font>
      <sz val="9"/>
      <color rgb="FF0000FF"/>
      <name val="Calibri"/>
      <family val="2"/>
      <scheme val="minor"/>
    </font>
    <font>
      <b/>
      <sz val="9"/>
      <color theme="1"/>
      <name val="Arial"/>
      <family val="2"/>
    </font>
    <font>
      <sz val="9"/>
      <color rgb="FF000000"/>
      <name val="Arial"/>
      <family val="2"/>
    </font>
    <font>
      <b/>
      <sz val="9"/>
      <color rgb="FF000000"/>
      <name val="Arial"/>
      <family val="2"/>
    </font>
    <font>
      <b/>
      <vertAlign val="superscript"/>
      <sz val="9"/>
      <color rgb="FF000000"/>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right/>
      <top style="thin">
        <color auto="1"/>
      </top>
      <bottom/>
      <diagonal/>
    </border>
    <border>
      <left/>
      <right/>
      <top style="thin">
        <color auto="1"/>
      </top>
      <bottom style="thin">
        <color auto="1"/>
      </bottom>
      <diagonal/>
    </border>
    <border>
      <left/>
      <right/>
      <top/>
      <bottom style="thin">
        <color auto="1"/>
      </bottom>
      <diagonal/>
    </border>
    <border>
      <left/>
      <right/>
      <top/>
      <bottom style="thin">
        <color rgb="FF000000"/>
      </bottom>
      <diagonal/>
    </border>
    <border>
      <left/>
      <right/>
      <top style="thin">
        <color rgb="FF000000"/>
      </top>
      <bottom style="thin">
        <color rgb="FF000000"/>
      </bottom>
      <diagonal/>
    </border>
  </borders>
  <cellStyleXfs count="187">
    <xf numFmtId="0" fontId="0" fillId="0" borderId="0"/>
    <xf numFmtId="165" fontId="1" fillId="0" borderId="0" applyFont="0" applyFill="0" applyBorder="0" applyAlignment="0" applyProtection="0"/>
    <xf numFmtId="164"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 fillId="0" borderId="0"/>
    <xf numFmtId="165" fontId="11" fillId="0" borderId="0" applyFont="0" applyFill="0" applyBorder="0" applyAlignment="0" applyProtection="0"/>
    <xf numFmtId="0" fontId="12" fillId="0" borderId="0">
      <alignment vertical="top"/>
    </xf>
    <xf numFmtId="0" fontId="12" fillId="0" borderId="0">
      <alignment vertical="top"/>
    </xf>
    <xf numFmtId="165" fontId="1"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cellStyleXfs>
  <cellXfs count="83">
    <xf numFmtId="0" fontId="0" fillId="0" borderId="0" xfId="0"/>
    <xf numFmtId="0" fontId="5" fillId="0" borderId="0" xfId="0" applyFont="1"/>
    <xf numFmtId="0" fontId="6" fillId="0" borderId="0" xfId="0" applyFont="1"/>
    <xf numFmtId="0" fontId="6" fillId="0" borderId="0" xfId="0" applyFont="1" applyAlignment="1">
      <alignment wrapText="1"/>
    </xf>
    <xf numFmtId="0" fontId="7" fillId="0" borderId="0" xfId="0" applyFont="1"/>
    <xf numFmtId="0" fontId="8" fillId="0" borderId="0" xfId="0" applyFont="1"/>
    <xf numFmtId="0" fontId="10" fillId="0" borderId="0" xfId="0" applyFont="1"/>
    <xf numFmtId="164" fontId="10" fillId="0" borderId="0" xfId="2" applyFont="1"/>
    <xf numFmtId="4" fontId="6" fillId="0" borderId="0" xfId="1" applyNumberFormat="1" applyFont="1"/>
    <xf numFmtId="4" fontId="6" fillId="0" borderId="0" xfId="0" applyNumberFormat="1" applyFont="1"/>
    <xf numFmtId="0" fontId="13" fillId="2" borderId="2" xfId="0" applyFont="1" applyFill="1" applyBorder="1" applyAlignment="1">
      <alignment vertical="top"/>
    </xf>
    <xf numFmtId="0" fontId="13" fillId="2" borderId="2" xfId="0" applyFont="1" applyFill="1" applyBorder="1" applyAlignment="1">
      <alignment vertical="top" wrapText="1"/>
    </xf>
    <xf numFmtId="0" fontId="5" fillId="2" borderId="0" xfId="0" applyFont="1" applyFill="1" applyAlignment="1">
      <alignment vertical="top"/>
    </xf>
    <xf numFmtId="0" fontId="6" fillId="2" borderId="0" xfId="0" applyFont="1" applyFill="1" applyAlignment="1">
      <alignment vertical="top"/>
    </xf>
    <xf numFmtId="0" fontId="6" fillId="2" borderId="0" xfId="0" applyFont="1" applyFill="1" applyAlignment="1">
      <alignment vertical="top" wrapText="1"/>
    </xf>
    <xf numFmtId="0" fontId="5" fillId="2" borderId="0" xfId="0" applyFont="1" applyFill="1" applyAlignment="1">
      <alignment horizontal="center" vertical="top" wrapText="1"/>
    </xf>
    <xf numFmtId="0" fontId="14" fillId="2" borderId="0" xfId="0" applyFont="1" applyFill="1" applyAlignment="1">
      <alignment vertical="top"/>
    </xf>
    <xf numFmtId="0" fontId="5" fillId="2" borderId="0" xfId="184" applyFont="1" applyFill="1" applyAlignment="1">
      <alignment vertical="top"/>
    </xf>
    <xf numFmtId="0" fontId="5" fillId="2" borderId="0" xfId="0" applyFont="1" applyFill="1" applyAlignment="1">
      <alignment vertical="top" wrapText="1"/>
    </xf>
    <xf numFmtId="165" fontId="5" fillId="2" borderId="2" xfId="1" applyFont="1" applyFill="1" applyBorder="1" applyAlignment="1">
      <alignment vertical="top"/>
    </xf>
    <xf numFmtId="0" fontId="9" fillId="0" borderId="2" xfId="2" applyNumberFormat="1" applyFont="1" applyBorder="1" applyAlignment="1">
      <alignment horizontal="center" wrapText="1"/>
    </xf>
    <xf numFmtId="0" fontId="15" fillId="2" borderId="0" xfId="0" applyFont="1" applyFill="1" applyAlignment="1">
      <alignment vertical="top"/>
    </xf>
    <xf numFmtId="0" fontId="13" fillId="2" borderId="0" xfId="0" applyFont="1" applyFill="1" applyAlignment="1">
      <alignment vertical="top" wrapText="1"/>
    </xf>
    <xf numFmtId="0" fontId="13" fillId="2" borderId="0" xfId="0" applyFont="1" applyFill="1" applyAlignment="1">
      <alignment vertical="top"/>
    </xf>
    <xf numFmtId="0" fontId="13" fillId="2" borderId="0" xfId="0" applyFont="1" applyFill="1" applyAlignment="1">
      <alignment horizontal="left" vertical="top" wrapText="1"/>
    </xf>
    <xf numFmtId="165" fontId="13" fillId="2" borderId="0" xfId="0" applyNumberFormat="1" applyFont="1" applyFill="1" applyAlignment="1">
      <alignment vertical="top"/>
    </xf>
    <xf numFmtId="0" fontId="13" fillId="2" borderId="0" xfId="184" applyFont="1" applyFill="1" applyAlignment="1">
      <alignment vertical="top"/>
    </xf>
    <xf numFmtId="0" fontId="13" fillId="2" borderId="0" xfId="184" applyFont="1" applyFill="1" applyAlignment="1">
      <alignment vertical="top" wrapText="1"/>
    </xf>
    <xf numFmtId="0" fontId="5" fillId="2" borderId="2" xfId="0" applyFont="1" applyFill="1" applyBorder="1" applyAlignment="1">
      <alignment vertical="top"/>
    </xf>
    <xf numFmtId="0" fontId="16" fillId="2" borderId="0" xfId="0" applyFont="1" applyFill="1" applyAlignment="1">
      <alignment vertical="center"/>
    </xf>
    <xf numFmtId="0" fontId="16" fillId="0" borderId="0" xfId="0" applyFont="1" applyAlignment="1">
      <alignment vertical="center"/>
    </xf>
    <xf numFmtId="0" fontId="16" fillId="0" borderId="0" xfId="0" applyFont="1" applyAlignment="1">
      <alignment vertical="center" wrapText="1"/>
    </xf>
    <xf numFmtId="4" fontId="16" fillId="0" borderId="0" xfId="1" applyNumberFormat="1" applyFont="1" applyAlignment="1">
      <alignment vertical="center"/>
    </xf>
    <xf numFmtId="4" fontId="16" fillId="0" borderId="0" xfId="0" applyNumberFormat="1" applyFont="1" applyAlignment="1">
      <alignment vertical="center"/>
    </xf>
    <xf numFmtId="0" fontId="6" fillId="2" borderId="0" xfId="0" applyFont="1" applyFill="1" applyAlignment="1">
      <alignment horizontal="left" vertical="top" wrapText="1"/>
    </xf>
    <xf numFmtId="0" fontId="19" fillId="2" borderId="0" xfId="0" applyFont="1" applyFill="1" applyAlignment="1">
      <alignment vertical="top"/>
    </xf>
    <xf numFmtId="0" fontId="20" fillId="2" borderId="0" xfId="0" applyFont="1" applyFill="1" applyAlignment="1">
      <alignment vertical="top"/>
    </xf>
    <xf numFmtId="0" fontId="5" fillId="2" borderId="0" xfId="0" applyFont="1" applyFill="1" applyAlignment="1">
      <alignment vertical="center"/>
    </xf>
    <xf numFmtId="0" fontId="6" fillId="2" borderId="0" xfId="0" applyFont="1" applyFill="1" applyAlignment="1">
      <alignment vertical="center"/>
    </xf>
    <xf numFmtId="0" fontId="6" fillId="2" borderId="0" xfId="0" applyFont="1" applyFill="1" applyAlignment="1">
      <alignment vertical="center" wrapText="1"/>
    </xf>
    <xf numFmtId="165" fontId="5" fillId="2" borderId="0" xfId="186" applyFont="1" applyFill="1" applyBorder="1" applyAlignment="1">
      <alignment vertical="center"/>
    </xf>
    <xf numFmtId="165" fontId="6" fillId="2" borderId="0" xfId="0" applyNumberFormat="1" applyFont="1" applyFill="1" applyAlignment="1">
      <alignment vertical="center"/>
    </xf>
    <xf numFmtId="165" fontId="6" fillId="2" borderId="0" xfId="183" applyFont="1" applyFill="1" applyAlignment="1">
      <alignment vertical="top"/>
    </xf>
    <xf numFmtId="165" fontId="6" fillId="2" borderId="0" xfId="186" applyFont="1" applyFill="1" applyAlignment="1">
      <alignment vertical="top"/>
    </xf>
    <xf numFmtId="165" fontId="6" fillId="2" borderId="0" xfId="0" applyNumberFormat="1" applyFont="1" applyFill="1" applyAlignment="1">
      <alignment vertical="top"/>
    </xf>
    <xf numFmtId="165" fontId="13" fillId="2" borderId="0" xfId="186" applyFont="1" applyFill="1" applyAlignment="1">
      <alignment vertical="top"/>
    </xf>
    <xf numFmtId="165" fontId="15" fillId="2" borderId="0" xfId="0" applyNumberFormat="1" applyFont="1" applyFill="1" applyAlignment="1">
      <alignment vertical="top"/>
    </xf>
    <xf numFmtId="165" fontId="15" fillId="2" borderId="0" xfId="183" applyFont="1" applyFill="1" applyAlignment="1">
      <alignment vertical="top"/>
    </xf>
    <xf numFmtId="165" fontId="13" fillId="2" borderId="2" xfId="186" applyFont="1" applyFill="1" applyBorder="1" applyAlignment="1">
      <alignment vertical="top"/>
    </xf>
    <xf numFmtId="165" fontId="13" fillId="2" borderId="0" xfId="186" applyFont="1" applyFill="1" applyBorder="1" applyAlignment="1">
      <alignment vertical="top"/>
    </xf>
    <xf numFmtId="165" fontId="14" fillId="2" borderId="0" xfId="0" applyNumberFormat="1" applyFont="1" applyFill="1" applyAlignment="1">
      <alignment vertical="top"/>
    </xf>
    <xf numFmtId="165" fontId="14" fillId="2" borderId="0" xfId="183" applyFont="1" applyFill="1" applyAlignment="1">
      <alignment vertical="top"/>
    </xf>
    <xf numFmtId="0" fontId="6" fillId="2" borderId="0" xfId="0" applyFont="1" applyFill="1" applyAlignment="1">
      <alignment horizontal="center" vertical="top" wrapText="1"/>
    </xf>
    <xf numFmtId="0" fontId="13" fillId="0" borderId="0" xfId="0" applyFont="1" applyAlignment="1">
      <alignment horizontal="left" vertical="top" wrapText="1"/>
    </xf>
    <xf numFmtId="0" fontId="15" fillId="2" borderId="0" xfId="0" applyFont="1" applyFill="1" applyAlignment="1">
      <alignment vertical="top" wrapText="1"/>
    </xf>
    <xf numFmtId="0" fontId="21" fillId="2" borderId="0" xfId="0" applyFont="1" applyFill="1" applyAlignment="1">
      <alignment vertical="top"/>
    </xf>
    <xf numFmtId="165" fontId="13" fillId="2" borderId="4" xfId="186" applyFont="1" applyFill="1" applyBorder="1" applyAlignment="1">
      <alignment vertical="top"/>
    </xf>
    <xf numFmtId="166" fontId="15" fillId="2" borderId="0" xfId="0" applyNumberFormat="1" applyFont="1" applyFill="1" applyAlignment="1">
      <alignment vertical="top"/>
    </xf>
    <xf numFmtId="0" fontId="13" fillId="2" borderId="0" xfId="0" applyFont="1" applyFill="1" applyAlignment="1">
      <alignment vertical="center"/>
    </xf>
    <xf numFmtId="0" fontId="13" fillId="2" borderId="0" xfId="0" applyFont="1" applyFill="1" applyAlignment="1">
      <alignment vertical="center" wrapText="1"/>
    </xf>
    <xf numFmtId="165" fontId="13" fillId="2" borderId="0" xfId="184" applyNumberFormat="1" applyFont="1" applyFill="1" applyAlignment="1">
      <alignment vertical="top"/>
    </xf>
    <xf numFmtId="0" fontId="15" fillId="2" borderId="0" xfId="184" applyFont="1" applyFill="1" applyAlignment="1">
      <alignment vertical="top"/>
    </xf>
    <xf numFmtId="165" fontId="15" fillId="2" borderId="0" xfId="180" applyFont="1" applyFill="1" applyAlignment="1">
      <alignment vertical="top"/>
    </xf>
    <xf numFmtId="165" fontId="6" fillId="2" borderId="2" xfId="186" applyFont="1" applyFill="1" applyBorder="1" applyAlignment="1">
      <alignment vertical="top"/>
    </xf>
    <xf numFmtId="165" fontId="19" fillId="2" borderId="0" xfId="0" applyNumberFormat="1" applyFont="1" applyFill="1" applyAlignment="1">
      <alignment vertical="top"/>
    </xf>
    <xf numFmtId="165" fontId="19" fillId="2" borderId="0" xfId="186" applyFont="1" applyFill="1" applyBorder="1" applyAlignment="1">
      <alignment vertical="top"/>
    </xf>
    <xf numFmtId="165" fontId="19" fillId="2" borderId="0" xfId="183" applyFont="1" applyFill="1" applyAlignment="1">
      <alignment vertical="top"/>
    </xf>
    <xf numFmtId="165" fontId="20" fillId="2" borderId="0" xfId="183" applyFont="1" applyFill="1" applyAlignment="1">
      <alignment vertical="top"/>
    </xf>
    <xf numFmtId="165" fontId="13" fillId="2" borderId="5" xfId="0" applyNumberFormat="1" applyFont="1" applyFill="1" applyBorder="1" applyAlignment="1">
      <alignment vertical="top"/>
    </xf>
    <xf numFmtId="0" fontId="22" fillId="2" borderId="0" xfId="0" applyFont="1" applyFill="1" applyAlignment="1">
      <alignment vertical="top"/>
    </xf>
    <xf numFmtId="165" fontId="5" fillId="2" borderId="0" xfId="186" applyFont="1" applyFill="1" applyBorder="1" applyAlignment="1">
      <alignment vertical="top"/>
    </xf>
    <xf numFmtId="165" fontId="5" fillId="2" borderId="0" xfId="0" applyNumberFormat="1" applyFont="1" applyFill="1" applyAlignment="1">
      <alignment vertical="top"/>
    </xf>
    <xf numFmtId="165" fontId="5" fillId="2" borderId="0" xfId="183" applyFont="1" applyFill="1" applyAlignment="1">
      <alignment vertical="top"/>
    </xf>
    <xf numFmtId="0" fontId="23" fillId="2" borderId="0" xfId="0" applyFont="1" applyFill="1" applyAlignment="1">
      <alignment vertical="center"/>
    </xf>
    <xf numFmtId="164" fontId="9" fillId="0" borderId="1" xfId="2" applyFont="1" applyBorder="1" applyAlignment="1">
      <alignment horizontal="center" wrapText="1"/>
    </xf>
    <xf numFmtId="164" fontId="9" fillId="0" borderId="3" xfId="2" applyFont="1" applyBorder="1" applyAlignment="1">
      <alignment horizontal="center" wrapText="1"/>
    </xf>
    <xf numFmtId="0" fontId="9" fillId="0" borderId="2" xfId="0" applyFont="1" applyBorder="1" applyAlignment="1">
      <alignment horizontal="center"/>
    </xf>
    <xf numFmtId="0" fontId="9" fillId="0" borderId="1" xfId="2" applyNumberFormat="1" applyFont="1" applyBorder="1" applyAlignment="1">
      <alignment horizontal="left" wrapText="1"/>
    </xf>
    <xf numFmtId="0" fontId="9" fillId="0" borderId="3" xfId="2" applyNumberFormat="1" applyFont="1" applyBorder="1" applyAlignment="1">
      <alignment horizontal="left" wrapText="1"/>
    </xf>
    <xf numFmtId="0" fontId="16" fillId="2" borderId="0" xfId="0" applyFont="1" applyFill="1" applyAlignment="1">
      <alignment horizontal="left" vertical="center" wrapText="1"/>
    </xf>
    <xf numFmtId="0" fontId="16" fillId="0" borderId="0" xfId="0" applyFont="1" applyAlignment="1">
      <alignment horizontal="left" vertical="center" wrapText="1"/>
    </xf>
    <xf numFmtId="0" fontId="5" fillId="2" borderId="0" xfId="0" applyFont="1" applyFill="1" applyAlignment="1">
      <alignment horizontal="left" vertical="top" wrapText="1"/>
    </xf>
    <xf numFmtId="0" fontId="5" fillId="2" borderId="0" xfId="0" applyFont="1" applyFill="1" applyAlignment="1">
      <alignment horizontal="left" vertical="top"/>
    </xf>
  </cellXfs>
  <cellStyles count="187">
    <cellStyle name="Comma" xfId="1" builtinId="3"/>
    <cellStyle name="Comma 2" xfId="186" xr:uid="{00000000-0005-0000-0000-000001000000}"/>
    <cellStyle name="Comma 3" xfId="180" xr:uid="{00000000-0005-0000-0000-000002000000}"/>
    <cellStyle name="Comma 5" xfId="183" xr:uid="{00000000-0005-0000-0000-000003000000}"/>
    <cellStyle name="Currency" xfId="2" builtinId="4"/>
    <cellStyle name="Currency 3" xfId="185" xr:uid="{00000000-0005-0000-0000-000005000000}"/>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Normal" xfId="0" builtinId="0"/>
    <cellStyle name="Normal 2" xfId="182" xr:uid="{00000000-0005-0000-0000-0000B7000000}"/>
    <cellStyle name="Normal 3" xfId="179" xr:uid="{00000000-0005-0000-0000-0000B8000000}"/>
    <cellStyle name="Normal 3 4" xfId="184" xr:uid="{00000000-0005-0000-0000-0000B9000000}"/>
    <cellStyle name="Normal 4" xfId="181" xr:uid="{00000000-0005-0000-0000-0000BA000000}"/>
  </cellStyles>
  <dxfs count="0"/>
  <tableStyles count="0" defaultTableStyle="TableStyleMedium9" defaultPivotStyle="PivotStyleLight16"/>
  <colors>
    <mruColors>
      <color rgb="FF00A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289074</xdr:colOff>
      <xdr:row>0</xdr:row>
      <xdr:rowOff>28021</xdr:rowOff>
    </xdr:from>
    <xdr:to>
      <xdr:col>3</xdr:col>
      <xdr:colOff>64533</xdr:colOff>
      <xdr:row>5</xdr:row>
      <xdr:rowOff>40317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41058" y="28021"/>
          <a:ext cx="4452285" cy="717852"/>
        </a:xfrm>
        <a:prstGeom prst="rect">
          <a:avLst/>
        </a:prstGeom>
        <a:noFill/>
        <a:ln w="9525" cmpd="sng">
          <a:noFill/>
        </a:ln>
        <a:effectLst/>
      </xdr:spPr>
      <xdr:txBody>
        <a:bodyPr vertOverflow="clip" horzOverflow="clip" wrap="non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ANNUAL REPORT 2024</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i="0">
              <a:effectLst/>
              <a:latin typeface="Arial" panose="020B0604020202020204" pitchFamily="34" charset="0"/>
              <a:ea typeface="+mn-ea"/>
              <a:cs typeface="Arial" panose="020B0604020202020204" pitchFamily="34" charset="0"/>
            </a:rPr>
            <a:t>https://www.adb.org/documents/adb-annual-report-2024</a:t>
          </a:r>
          <a:endParaRPr kumimoji="0" lang="fi-FI"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Keywords: cofinancing, commercial cofinancing, private sector, nonsovereign</a:t>
          </a:r>
        </a:p>
      </xdr:txBody>
    </xdr:sp>
    <xdr:clientData/>
  </xdr:twoCellAnchor>
  <xdr:twoCellAnchor editAs="oneCell">
    <xdr:from>
      <xdr:col>0</xdr:col>
      <xdr:colOff>27217</xdr:colOff>
      <xdr:row>0</xdr:row>
      <xdr:rowOff>50334</xdr:rowOff>
    </xdr:from>
    <xdr:to>
      <xdr:col>1</xdr:col>
      <xdr:colOff>204874</xdr:colOff>
      <xdr:row>3</xdr:row>
      <xdr:rowOff>112954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217" y="50334"/>
          <a:ext cx="395371" cy="51165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O362"/>
  <sheetViews>
    <sheetView tabSelected="1" zoomScale="140" zoomScaleNormal="140" zoomScalePageLayoutView="118" workbookViewId="0">
      <selection activeCell="C91" sqref="C91"/>
    </sheetView>
  </sheetViews>
  <sheetFormatPr defaultColWidth="8.85546875" defaultRowHeight="12" x14ac:dyDescent="0.2"/>
  <cols>
    <col min="1" max="1" width="3.28515625" style="2" customWidth="1"/>
    <col min="2" max="2" width="15.85546875" style="3" customWidth="1"/>
    <col min="3" max="3" width="51.85546875" style="3" customWidth="1"/>
    <col min="4" max="4" width="12.28515625" style="8" customWidth="1"/>
    <col min="5" max="5" width="1.85546875" style="9" customWidth="1"/>
    <col min="6" max="6" width="12.28515625" style="9" customWidth="1"/>
    <col min="7" max="16384" width="8.85546875" style="2"/>
  </cols>
  <sheetData>
    <row r="4" spans="1:13" x14ac:dyDescent="0.2">
      <c r="A4" s="1"/>
    </row>
    <row r="5" spans="1:13" x14ac:dyDescent="0.2">
      <c r="A5" s="1"/>
    </row>
    <row r="6" spans="1:13" x14ac:dyDescent="0.2">
      <c r="A6" s="1"/>
    </row>
    <row r="7" spans="1:13" x14ac:dyDescent="0.2">
      <c r="A7" s="4" t="s">
        <v>66</v>
      </c>
    </row>
    <row r="8" spans="1:13" x14ac:dyDescent="0.2">
      <c r="A8" s="5" t="s">
        <v>19</v>
      </c>
    </row>
    <row r="9" spans="1:13" s="6" customFormat="1" x14ac:dyDescent="0.2">
      <c r="A9" s="77" t="s">
        <v>12</v>
      </c>
      <c r="B9" s="77"/>
      <c r="C9" s="74" t="s">
        <v>0</v>
      </c>
      <c r="D9" s="76" t="s">
        <v>16</v>
      </c>
      <c r="E9" s="76"/>
      <c r="F9" s="76"/>
    </row>
    <row r="10" spans="1:13" s="7" customFormat="1" ht="24" x14ac:dyDescent="0.2">
      <c r="A10" s="78"/>
      <c r="B10" s="78"/>
      <c r="C10" s="75"/>
      <c r="D10" s="20" t="s">
        <v>13</v>
      </c>
      <c r="E10" s="20"/>
      <c r="F10" s="20" t="s">
        <v>14</v>
      </c>
    </row>
    <row r="11" spans="1:13" s="13" customFormat="1" ht="12.95" customHeight="1" x14ac:dyDescent="0.25">
      <c r="A11" s="37" t="s">
        <v>221</v>
      </c>
      <c r="B11" s="38"/>
      <c r="C11" s="39"/>
      <c r="D11" s="40">
        <f>SUM(D25,D29,D33,D37,D41,D52,D57,D61,D65,D69)</f>
        <v>11662.221030000001</v>
      </c>
      <c r="E11" s="40"/>
      <c r="F11" s="40">
        <f>SUM(F25,F29,F33,F37,F41,F52,F57,F61,F65,F69)</f>
        <v>126600</v>
      </c>
      <c r="G11" s="41"/>
      <c r="M11" s="42"/>
    </row>
    <row r="12" spans="1:13" s="13" customFormat="1" x14ac:dyDescent="0.25">
      <c r="A12" s="12" t="s">
        <v>2</v>
      </c>
      <c r="C12" s="14"/>
      <c r="D12" s="43"/>
      <c r="E12" s="44"/>
      <c r="F12" s="43"/>
      <c r="G12" s="44"/>
      <c r="H12" s="44"/>
      <c r="M12" s="42"/>
    </row>
    <row r="13" spans="1:13" s="13" customFormat="1" ht="24" x14ac:dyDescent="0.25">
      <c r="B13" s="13" t="s">
        <v>67</v>
      </c>
      <c r="C13" s="14" t="s">
        <v>137</v>
      </c>
      <c r="D13" s="43"/>
      <c r="E13" s="44"/>
      <c r="F13" s="43">
        <f>9*1000</f>
        <v>9000</v>
      </c>
      <c r="G13" s="44"/>
      <c r="H13" s="44"/>
      <c r="M13" s="42"/>
    </row>
    <row r="14" spans="1:13" s="13" customFormat="1" x14ac:dyDescent="0.25">
      <c r="B14" s="14" t="s">
        <v>32</v>
      </c>
      <c r="C14" s="14" t="s">
        <v>252</v>
      </c>
      <c r="D14" s="44"/>
      <c r="E14" s="44"/>
      <c r="F14" s="43">
        <f>38.5*1000</f>
        <v>38500</v>
      </c>
      <c r="G14" s="44"/>
      <c r="H14" s="44"/>
      <c r="M14" s="42"/>
    </row>
    <row r="15" spans="1:13" s="13" customFormat="1" ht="36" x14ac:dyDescent="0.25">
      <c r="B15" s="14" t="s">
        <v>6</v>
      </c>
      <c r="C15" s="14" t="s">
        <v>138</v>
      </c>
      <c r="D15" s="43">
        <f>0.5*1000</f>
        <v>500</v>
      </c>
      <c r="E15" s="44"/>
      <c r="F15" s="44"/>
      <c r="G15" s="44"/>
      <c r="H15" s="44"/>
      <c r="M15" s="42"/>
    </row>
    <row r="16" spans="1:13" s="13" customFormat="1" ht="36" x14ac:dyDescent="0.25">
      <c r="B16" s="14" t="s">
        <v>6</v>
      </c>
      <c r="C16" s="14" t="s">
        <v>139</v>
      </c>
      <c r="D16" s="43">
        <f>0.2*1000</f>
        <v>200</v>
      </c>
      <c r="E16" s="44"/>
      <c r="F16" s="43"/>
      <c r="G16" s="44"/>
      <c r="H16" s="44"/>
      <c r="M16" s="42"/>
    </row>
    <row r="17" spans="1:13" s="13" customFormat="1" ht="24" x14ac:dyDescent="0.25">
      <c r="B17" s="14" t="s">
        <v>68</v>
      </c>
      <c r="C17" s="14" t="s">
        <v>140</v>
      </c>
      <c r="D17" s="43"/>
      <c r="E17" s="44"/>
      <c r="F17" s="43">
        <f>4.05*1000</f>
        <v>4050</v>
      </c>
      <c r="G17" s="44"/>
      <c r="H17" s="44"/>
      <c r="M17" s="42"/>
    </row>
    <row r="18" spans="1:13" s="13" customFormat="1" ht="24" x14ac:dyDescent="0.25">
      <c r="B18" s="14" t="s">
        <v>29</v>
      </c>
      <c r="C18" s="14" t="s">
        <v>141</v>
      </c>
      <c r="D18" s="43"/>
      <c r="E18" s="44"/>
      <c r="F18" s="43">
        <f>6.6*1000</f>
        <v>6600</v>
      </c>
      <c r="G18" s="44"/>
      <c r="H18" s="44"/>
      <c r="M18" s="42"/>
    </row>
    <row r="19" spans="1:13" s="13" customFormat="1" x14ac:dyDescent="0.25">
      <c r="B19" s="14" t="s">
        <v>69</v>
      </c>
      <c r="C19" s="14" t="s">
        <v>70</v>
      </c>
      <c r="D19" s="43"/>
      <c r="E19" s="44"/>
      <c r="F19" s="43">
        <f>13.48*1000</f>
        <v>13480</v>
      </c>
      <c r="G19" s="44"/>
      <c r="H19" s="44"/>
      <c r="M19" s="42"/>
    </row>
    <row r="20" spans="1:13" s="13" customFormat="1" x14ac:dyDescent="0.25">
      <c r="B20" s="14" t="s">
        <v>43</v>
      </c>
      <c r="C20" s="14" t="s">
        <v>71</v>
      </c>
      <c r="D20" s="43"/>
      <c r="E20" s="44"/>
      <c r="F20" s="43">
        <f>5.7*1000</f>
        <v>5700</v>
      </c>
      <c r="G20" s="44"/>
      <c r="H20" s="44"/>
      <c r="M20" s="42"/>
    </row>
    <row r="21" spans="1:13" s="13" customFormat="1" ht="24" x14ac:dyDescent="0.25">
      <c r="B21" s="14" t="s">
        <v>11</v>
      </c>
      <c r="C21" s="14" t="s">
        <v>142</v>
      </c>
      <c r="D21" s="44">
        <f>0.14895*1000</f>
        <v>148.94999999999999</v>
      </c>
      <c r="E21" s="44"/>
      <c r="F21" s="43"/>
      <c r="G21" s="44"/>
      <c r="H21" s="44"/>
      <c r="M21" s="42"/>
    </row>
    <row r="22" spans="1:13" s="13" customFormat="1" ht="24" x14ac:dyDescent="0.25">
      <c r="B22" s="14" t="s">
        <v>11</v>
      </c>
      <c r="C22" s="14" t="s">
        <v>148</v>
      </c>
      <c r="D22" s="43">
        <f>0.330982*1000</f>
        <v>330.98199999999997</v>
      </c>
      <c r="E22" s="44"/>
      <c r="F22" s="43"/>
      <c r="G22" s="44"/>
      <c r="H22" s="44"/>
      <c r="M22" s="42"/>
    </row>
    <row r="23" spans="1:13" s="13" customFormat="1" ht="24" x14ac:dyDescent="0.25">
      <c r="B23" s="14" t="s">
        <v>11</v>
      </c>
      <c r="C23" s="14" t="s">
        <v>143</v>
      </c>
      <c r="D23" s="43">
        <f>1.10218675*1000</f>
        <v>1102.1867500000001</v>
      </c>
      <c r="E23" s="44"/>
      <c r="F23" s="43"/>
      <c r="G23" s="44"/>
      <c r="H23" s="44"/>
      <c r="M23" s="42"/>
    </row>
    <row r="24" spans="1:13" s="21" customFormat="1" ht="36" x14ac:dyDescent="0.25">
      <c r="A24" s="23"/>
      <c r="B24" s="14" t="s">
        <v>11</v>
      </c>
      <c r="C24" s="14" t="s">
        <v>144</v>
      </c>
      <c r="D24" s="43">
        <f>0.584816*1000</f>
        <v>584.81600000000003</v>
      </c>
      <c r="E24" s="25"/>
      <c r="F24" s="45"/>
      <c r="G24" s="46"/>
      <c r="H24" s="46"/>
      <c r="K24" s="47"/>
      <c r="M24" s="47"/>
    </row>
    <row r="25" spans="1:13" s="21" customFormat="1" x14ac:dyDescent="0.25">
      <c r="A25" s="23"/>
      <c r="B25" s="22"/>
      <c r="C25" s="15" t="s">
        <v>20</v>
      </c>
      <c r="D25" s="48">
        <f>SUM(D13:D24)</f>
        <v>2866.9347500000003</v>
      </c>
      <c r="E25" s="49"/>
      <c r="F25" s="48">
        <f>SUM(F13:F24)</f>
        <v>77330</v>
      </c>
      <c r="G25" s="46"/>
      <c r="H25" s="46"/>
      <c r="I25" s="50"/>
      <c r="J25" s="51"/>
      <c r="K25" s="16"/>
      <c r="L25" s="16"/>
      <c r="M25" s="47"/>
    </row>
    <row r="26" spans="1:13" s="21" customFormat="1" x14ac:dyDescent="0.25">
      <c r="A26" s="23"/>
      <c r="B26" s="22"/>
      <c r="C26" s="15"/>
      <c r="D26" s="45"/>
      <c r="E26" s="25"/>
      <c r="F26" s="45"/>
      <c r="G26" s="46"/>
      <c r="H26" s="46"/>
      <c r="I26" s="16"/>
      <c r="J26" s="51"/>
      <c r="K26" s="16"/>
      <c r="L26" s="16"/>
      <c r="M26" s="47"/>
    </row>
    <row r="27" spans="1:13" s="21" customFormat="1" x14ac:dyDescent="0.25">
      <c r="A27" s="12" t="s">
        <v>24</v>
      </c>
      <c r="B27" s="22"/>
      <c r="C27" s="15"/>
      <c r="D27" s="45"/>
      <c r="E27" s="25"/>
      <c r="F27" s="45"/>
      <c r="G27" s="46"/>
      <c r="H27" s="46"/>
      <c r="I27" s="16"/>
      <c r="J27" s="51"/>
      <c r="K27" s="16"/>
      <c r="L27" s="16"/>
      <c r="M27" s="47"/>
    </row>
    <row r="28" spans="1:13" s="21" customFormat="1" x14ac:dyDescent="0.25">
      <c r="A28" s="13"/>
      <c r="B28" s="22" t="s">
        <v>11</v>
      </c>
      <c r="C28" s="24" t="s">
        <v>27</v>
      </c>
      <c r="D28" s="45">
        <f>1.1*1000</f>
        <v>1100</v>
      </c>
      <c r="E28" s="25"/>
      <c r="F28" s="45"/>
      <c r="G28" s="46"/>
      <c r="H28" s="46"/>
      <c r="I28" s="16"/>
      <c r="J28" s="51"/>
      <c r="K28" s="16"/>
      <c r="L28" s="16"/>
      <c r="M28" s="47"/>
    </row>
    <row r="29" spans="1:13" s="21" customFormat="1" x14ac:dyDescent="0.25">
      <c r="A29" s="12"/>
      <c r="B29" s="22"/>
      <c r="C29" s="15" t="s">
        <v>20</v>
      </c>
      <c r="D29" s="48">
        <f>SUM(D28)</f>
        <v>1100</v>
      </c>
      <c r="E29" s="25"/>
      <c r="F29" s="25"/>
      <c r="G29" s="46"/>
      <c r="H29" s="46"/>
      <c r="I29" s="16"/>
      <c r="J29" s="51"/>
      <c r="K29" s="16"/>
      <c r="L29" s="16"/>
      <c r="M29" s="47"/>
    </row>
    <row r="30" spans="1:13" s="21" customFormat="1" x14ac:dyDescent="0.25">
      <c r="A30" s="12"/>
      <c r="B30" s="22"/>
      <c r="C30" s="15"/>
      <c r="D30" s="49"/>
      <c r="E30" s="25"/>
      <c r="F30" s="25"/>
      <c r="G30" s="46"/>
      <c r="H30" s="46"/>
      <c r="I30" s="16"/>
      <c r="J30" s="51"/>
      <c r="K30" s="16"/>
      <c r="L30" s="16"/>
      <c r="M30" s="47"/>
    </row>
    <row r="31" spans="1:13" s="21" customFormat="1" x14ac:dyDescent="0.25">
      <c r="A31" s="12" t="s">
        <v>45</v>
      </c>
      <c r="B31" s="22"/>
      <c r="C31" s="24"/>
      <c r="D31" s="45"/>
      <c r="E31" s="25"/>
      <c r="F31" s="45"/>
      <c r="G31" s="25"/>
      <c r="H31" s="25"/>
      <c r="I31" s="16"/>
      <c r="J31" s="51"/>
      <c r="K31" s="16"/>
      <c r="L31" s="16"/>
      <c r="M31" s="47"/>
    </row>
    <row r="32" spans="1:13" s="21" customFormat="1" ht="24" x14ac:dyDescent="0.25">
      <c r="A32" s="12"/>
      <c r="B32" s="22" t="s">
        <v>11</v>
      </c>
      <c r="C32" s="24" t="s">
        <v>145</v>
      </c>
      <c r="D32" s="45">
        <f>1.05*1000</f>
        <v>1050</v>
      </c>
      <c r="E32" s="25"/>
      <c r="F32" s="49"/>
      <c r="G32" s="25"/>
      <c r="H32" s="25"/>
      <c r="I32" s="16"/>
      <c r="J32" s="51"/>
      <c r="K32" s="16"/>
      <c r="L32" s="16"/>
      <c r="M32" s="47"/>
    </row>
    <row r="33" spans="1:13" s="21" customFormat="1" x14ac:dyDescent="0.25">
      <c r="A33" s="23"/>
      <c r="B33" s="22"/>
      <c r="C33" s="15" t="s">
        <v>20</v>
      </c>
      <c r="D33" s="48">
        <f>SUM(D32)</f>
        <v>1050</v>
      </c>
      <c r="E33" s="25"/>
      <c r="F33" s="49"/>
      <c r="G33" s="25"/>
      <c r="H33" s="25"/>
      <c r="I33" s="16"/>
      <c r="J33" s="51"/>
      <c r="K33" s="16"/>
      <c r="L33" s="16"/>
      <c r="M33" s="47"/>
    </row>
    <row r="34" spans="1:13" s="21" customFormat="1" x14ac:dyDescent="0.25">
      <c r="A34" s="23"/>
      <c r="B34" s="22"/>
      <c r="C34" s="15"/>
      <c r="D34" s="49"/>
      <c r="E34" s="25"/>
      <c r="F34" s="25"/>
      <c r="G34" s="25"/>
      <c r="H34" s="25"/>
      <c r="I34" s="16"/>
      <c r="J34" s="51"/>
      <c r="K34" s="16"/>
      <c r="L34" s="16"/>
      <c r="M34" s="47"/>
    </row>
    <row r="35" spans="1:13" s="21" customFormat="1" x14ac:dyDescent="0.25">
      <c r="A35" s="12" t="s">
        <v>72</v>
      </c>
      <c r="B35" s="22"/>
      <c r="C35" s="52"/>
      <c r="D35" s="45"/>
      <c r="E35" s="25"/>
      <c r="F35" s="45"/>
      <c r="G35" s="25"/>
      <c r="H35" s="25"/>
      <c r="I35" s="16"/>
      <c r="J35" s="51"/>
      <c r="K35" s="16"/>
      <c r="L35" s="16"/>
      <c r="M35" s="47"/>
    </row>
    <row r="36" spans="1:13" s="21" customFormat="1" ht="24" x14ac:dyDescent="0.25">
      <c r="A36" s="23"/>
      <c r="B36" s="22" t="s">
        <v>11</v>
      </c>
      <c r="C36" s="24" t="s">
        <v>146</v>
      </c>
      <c r="D36" s="45">
        <f>0.707938*1000</f>
        <v>707.93799999999999</v>
      </c>
      <c r="E36" s="25"/>
      <c r="F36" s="45"/>
      <c r="G36" s="25"/>
      <c r="H36" s="25"/>
      <c r="I36" s="16"/>
      <c r="J36" s="51"/>
      <c r="K36" s="16"/>
      <c r="L36" s="16"/>
      <c r="M36" s="47"/>
    </row>
    <row r="37" spans="1:13" s="21" customFormat="1" x14ac:dyDescent="0.25">
      <c r="A37" s="23"/>
      <c r="B37" s="22"/>
      <c r="C37" s="15" t="s">
        <v>20</v>
      </c>
      <c r="D37" s="48">
        <f>SUM(D36)</f>
        <v>707.93799999999999</v>
      </c>
      <c r="E37" s="25"/>
      <c r="F37" s="45"/>
      <c r="G37" s="25"/>
      <c r="H37" s="25"/>
      <c r="I37" s="16"/>
      <c r="J37" s="51"/>
      <c r="K37" s="16"/>
      <c r="L37" s="16"/>
      <c r="M37" s="47"/>
    </row>
    <row r="38" spans="1:13" s="21" customFormat="1" x14ac:dyDescent="0.25">
      <c r="A38" s="23"/>
      <c r="B38" s="22"/>
      <c r="C38" s="15"/>
      <c r="D38" s="49"/>
      <c r="E38" s="25"/>
      <c r="F38" s="25"/>
      <c r="G38" s="25"/>
      <c r="H38" s="25"/>
      <c r="I38" s="16"/>
      <c r="J38" s="51"/>
      <c r="K38" s="16"/>
      <c r="L38" s="16"/>
      <c r="M38" s="47"/>
    </row>
    <row r="39" spans="1:13" s="21" customFormat="1" x14ac:dyDescent="0.25">
      <c r="A39" s="12" t="s">
        <v>222</v>
      </c>
      <c r="B39" s="22"/>
      <c r="C39" s="15"/>
      <c r="D39" s="45"/>
      <c r="E39" s="25"/>
      <c r="F39" s="45"/>
      <c r="G39" s="25"/>
      <c r="H39" s="25"/>
      <c r="I39" s="16"/>
      <c r="J39" s="51"/>
      <c r="K39" s="16"/>
      <c r="L39" s="16"/>
      <c r="M39" s="47"/>
    </row>
    <row r="40" spans="1:13" s="21" customFormat="1" ht="24" x14ac:dyDescent="0.25">
      <c r="A40" s="23"/>
      <c r="B40" s="22" t="s">
        <v>11</v>
      </c>
      <c r="C40" s="53" t="s">
        <v>147</v>
      </c>
      <c r="D40" s="45">
        <f>(0.27017698+0.5223713)*1000</f>
        <v>792.54827999999998</v>
      </c>
      <c r="E40" s="25"/>
      <c r="F40" s="45"/>
      <c r="G40" s="25"/>
      <c r="H40" s="25"/>
      <c r="I40" s="16"/>
      <c r="J40" s="51"/>
      <c r="K40" s="16"/>
      <c r="L40" s="16"/>
      <c r="M40" s="47"/>
    </row>
    <row r="41" spans="1:13" s="21" customFormat="1" x14ac:dyDescent="0.25">
      <c r="A41" s="23"/>
      <c r="B41" s="22"/>
      <c r="C41" s="15" t="s">
        <v>20</v>
      </c>
      <c r="D41" s="48">
        <f>SUM(D40)</f>
        <v>792.54827999999998</v>
      </c>
      <c r="E41" s="25"/>
      <c r="F41" s="45"/>
      <c r="G41" s="25"/>
      <c r="H41" s="25"/>
      <c r="I41" s="16"/>
      <c r="J41" s="51"/>
      <c r="K41" s="16"/>
      <c r="L41" s="16"/>
      <c r="M41" s="47"/>
    </row>
    <row r="42" spans="1:13" s="21" customFormat="1" x14ac:dyDescent="0.25">
      <c r="C42" s="54"/>
      <c r="G42" s="25"/>
      <c r="H42" s="25"/>
      <c r="I42" s="16"/>
      <c r="J42" s="51"/>
      <c r="K42" s="16"/>
      <c r="L42" s="16"/>
      <c r="M42" s="47"/>
    </row>
    <row r="43" spans="1:13" s="21" customFormat="1" x14ac:dyDescent="0.25">
      <c r="A43" s="12" t="s">
        <v>1</v>
      </c>
      <c r="B43" s="23"/>
      <c r="C43" s="22"/>
      <c r="D43" s="45"/>
      <c r="E43" s="25"/>
      <c r="F43" s="45"/>
      <c r="G43" s="46"/>
      <c r="H43" s="46"/>
      <c r="M43" s="47"/>
    </row>
    <row r="44" spans="1:13" s="21" customFormat="1" x14ac:dyDescent="0.25">
      <c r="A44" s="12"/>
      <c r="B44" s="23" t="s">
        <v>32</v>
      </c>
      <c r="C44" s="22" t="s">
        <v>252</v>
      </c>
      <c r="D44" s="45"/>
      <c r="E44" s="25"/>
      <c r="F44" s="45">
        <f>2.5*1000</f>
        <v>2500</v>
      </c>
      <c r="G44" s="46"/>
      <c r="H44" s="46"/>
      <c r="M44" s="47"/>
    </row>
    <row r="45" spans="1:13" s="21" customFormat="1" x14ac:dyDescent="0.25">
      <c r="A45" s="12"/>
      <c r="B45" s="23" t="s">
        <v>46</v>
      </c>
      <c r="C45" s="22" t="s">
        <v>73</v>
      </c>
      <c r="D45" s="45"/>
      <c r="E45" s="25"/>
      <c r="F45" s="45">
        <f>0.67*1000</f>
        <v>670</v>
      </c>
      <c r="G45" s="46"/>
      <c r="H45" s="46"/>
      <c r="M45" s="47"/>
    </row>
    <row r="46" spans="1:13" s="21" customFormat="1" ht="24" x14ac:dyDescent="0.25">
      <c r="A46" s="12"/>
      <c r="B46" s="23" t="s">
        <v>68</v>
      </c>
      <c r="C46" s="22" t="s">
        <v>140</v>
      </c>
      <c r="D46" s="45"/>
      <c r="E46" s="25"/>
      <c r="F46" s="45">
        <f>4.2*1000</f>
        <v>4200</v>
      </c>
      <c r="G46" s="46"/>
      <c r="H46" s="46"/>
      <c r="M46" s="47"/>
    </row>
    <row r="47" spans="1:13" s="21" customFormat="1" ht="24" x14ac:dyDescent="0.25">
      <c r="A47" s="12"/>
      <c r="B47" s="23" t="s">
        <v>29</v>
      </c>
      <c r="C47" s="22" t="s">
        <v>141</v>
      </c>
      <c r="D47" s="45"/>
      <c r="E47" s="25"/>
      <c r="F47" s="45">
        <f>4.5*1000</f>
        <v>4500</v>
      </c>
      <c r="G47" s="46"/>
      <c r="H47" s="46"/>
      <c r="M47" s="47"/>
    </row>
    <row r="48" spans="1:13" s="21" customFormat="1" x14ac:dyDescent="0.25">
      <c r="A48" s="12"/>
      <c r="B48" s="23" t="s">
        <v>43</v>
      </c>
      <c r="C48" s="22" t="s">
        <v>71</v>
      </c>
      <c r="D48" s="45"/>
      <c r="E48" s="25"/>
      <c r="F48" s="45">
        <f>2.1*1000</f>
        <v>2100</v>
      </c>
      <c r="G48" s="46"/>
      <c r="H48" s="46"/>
      <c r="M48" s="47"/>
    </row>
    <row r="49" spans="1:13" s="21" customFormat="1" x14ac:dyDescent="0.25">
      <c r="A49" s="12"/>
      <c r="B49" s="23" t="s">
        <v>44</v>
      </c>
      <c r="C49" s="22" t="s">
        <v>74</v>
      </c>
      <c r="D49" s="45"/>
      <c r="E49" s="25"/>
      <c r="F49" s="45">
        <f>4.3*1000</f>
        <v>4300</v>
      </c>
      <c r="G49" s="46"/>
      <c r="H49" s="46"/>
      <c r="M49" s="47"/>
    </row>
    <row r="50" spans="1:13" s="21" customFormat="1" ht="24" x14ac:dyDescent="0.25">
      <c r="A50" s="12"/>
      <c r="B50" s="23" t="s">
        <v>11</v>
      </c>
      <c r="C50" s="22" t="s">
        <v>148</v>
      </c>
      <c r="D50" s="45">
        <f>0.2998*1000</f>
        <v>299.8</v>
      </c>
      <c r="E50" s="25"/>
      <c r="F50" s="45"/>
      <c r="G50" s="46"/>
      <c r="H50" s="46"/>
      <c r="M50" s="47"/>
    </row>
    <row r="51" spans="1:13" s="21" customFormat="1" x14ac:dyDescent="0.25">
      <c r="A51" s="12"/>
      <c r="B51" s="23"/>
      <c r="C51" s="22"/>
      <c r="D51" s="45"/>
      <c r="E51" s="25"/>
      <c r="F51" s="45"/>
      <c r="G51" s="46"/>
      <c r="H51" s="46"/>
      <c r="M51" s="47"/>
    </row>
    <row r="52" spans="1:13" s="21" customFormat="1" x14ac:dyDescent="0.25">
      <c r="A52" s="23"/>
      <c r="B52" s="22"/>
      <c r="C52" s="15" t="s">
        <v>20</v>
      </c>
      <c r="D52" s="48">
        <f>SUM(D44:D50)</f>
        <v>299.8</v>
      </c>
      <c r="E52" s="25"/>
      <c r="F52" s="48">
        <f>SUM(F44:F50)</f>
        <v>18270</v>
      </c>
      <c r="G52" s="46"/>
      <c r="H52" s="46"/>
      <c r="J52" s="47"/>
      <c r="M52" s="47"/>
    </row>
    <row r="53" spans="1:13" s="21" customFormat="1" x14ac:dyDescent="0.25">
      <c r="A53" s="23"/>
      <c r="B53" s="22"/>
      <c r="C53" s="15"/>
      <c r="D53" s="45"/>
      <c r="E53" s="25"/>
      <c r="F53" s="45"/>
      <c r="G53" s="46"/>
      <c r="H53" s="46"/>
      <c r="J53" s="47"/>
      <c r="M53" s="47"/>
    </row>
    <row r="54" spans="1:13" s="21" customFormat="1" x14ac:dyDescent="0.25">
      <c r="A54" s="55" t="s">
        <v>75</v>
      </c>
      <c r="B54" s="22"/>
      <c r="C54" s="15"/>
      <c r="D54" s="45"/>
      <c r="E54" s="25"/>
      <c r="F54" s="45"/>
      <c r="G54" s="46"/>
      <c r="H54" s="46"/>
      <c r="J54" s="47"/>
      <c r="M54" s="47"/>
    </row>
    <row r="55" spans="1:13" s="21" customFormat="1" ht="24" x14ac:dyDescent="0.25">
      <c r="A55" s="23"/>
      <c r="B55" s="22" t="s">
        <v>5</v>
      </c>
      <c r="C55" s="34" t="s">
        <v>61</v>
      </c>
      <c r="D55" s="45"/>
      <c r="E55" s="25"/>
      <c r="F55" s="49">
        <f>31*1000</f>
        <v>31000</v>
      </c>
      <c r="G55" s="46"/>
      <c r="H55" s="46"/>
      <c r="J55" s="47"/>
      <c r="M55" s="47"/>
    </row>
    <row r="56" spans="1:13" s="21" customFormat="1" ht="36" x14ac:dyDescent="0.25">
      <c r="A56" s="23"/>
      <c r="B56" s="22" t="s">
        <v>5</v>
      </c>
      <c r="C56" s="34" t="s">
        <v>149</v>
      </c>
      <c r="D56" s="45">
        <f>1*1000</f>
        <v>1000</v>
      </c>
      <c r="E56" s="25"/>
      <c r="F56" s="56"/>
      <c r="G56" s="46"/>
      <c r="H56" s="46"/>
      <c r="J56" s="47"/>
      <c r="M56" s="47"/>
    </row>
    <row r="57" spans="1:13" s="21" customFormat="1" x14ac:dyDescent="0.25">
      <c r="A57" s="23"/>
      <c r="B57" s="22"/>
      <c r="C57" s="15" t="s">
        <v>20</v>
      </c>
      <c r="D57" s="48">
        <f>SUM(D55:D56)</f>
        <v>1000</v>
      </c>
      <c r="E57" s="25"/>
      <c r="F57" s="56">
        <f>SUM(F55)</f>
        <v>31000</v>
      </c>
      <c r="G57" s="46"/>
      <c r="H57" s="46"/>
      <c r="J57" s="47"/>
      <c r="M57" s="47"/>
    </row>
    <row r="58" spans="1:13" s="21" customFormat="1" x14ac:dyDescent="0.25">
      <c r="A58" s="23"/>
      <c r="B58" s="22"/>
      <c r="C58" s="15"/>
      <c r="D58" s="45"/>
      <c r="E58" s="25"/>
      <c r="F58" s="45"/>
      <c r="G58" s="46"/>
      <c r="H58" s="46"/>
      <c r="J58" s="47"/>
      <c r="M58" s="47"/>
    </row>
    <row r="59" spans="1:13" s="21" customFormat="1" x14ac:dyDescent="0.25">
      <c r="A59" s="12" t="s">
        <v>47</v>
      </c>
      <c r="B59" s="23"/>
      <c r="C59" s="22"/>
      <c r="D59" s="45"/>
      <c r="E59" s="25"/>
      <c r="F59" s="45"/>
      <c r="G59" s="46"/>
      <c r="H59" s="46"/>
      <c r="M59" s="47"/>
    </row>
    <row r="60" spans="1:13" s="21" customFormat="1" ht="24" x14ac:dyDescent="0.25">
      <c r="A60" s="23"/>
      <c r="B60" s="23" t="s">
        <v>11</v>
      </c>
      <c r="C60" s="22" t="s">
        <v>150</v>
      </c>
      <c r="D60" s="45">
        <f>2.22*1000</f>
        <v>2220</v>
      </c>
      <c r="E60" s="25"/>
      <c r="F60" s="45"/>
      <c r="G60" s="46"/>
      <c r="H60" s="57"/>
      <c r="K60" s="47"/>
      <c r="M60" s="47"/>
    </row>
    <row r="61" spans="1:13" s="21" customFormat="1" x14ac:dyDescent="0.25">
      <c r="A61" s="23"/>
      <c r="B61" s="22"/>
      <c r="C61" s="15" t="s">
        <v>20</v>
      </c>
      <c r="D61" s="48">
        <f>SUM(D60:D60)</f>
        <v>2220</v>
      </c>
      <c r="E61" s="25"/>
      <c r="F61" s="45"/>
      <c r="G61" s="46"/>
      <c r="H61" s="46"/>
      <c r="J61" s="47"/>
      <c r="M61" s="47"/>
    </row>
    <row r="62" spans="1:13" s="21" customFormat="1" x14ac:dyDescent="0.25">
      <c r="A62" s="23"/>
      <c r="B62" s="23"/>
      <c r="C62" s="22"/>
      <c r="D62" s="45"/>
      <c r="E62" s="25"/>
      <c r="F62" s="45"/>
      <c r="G62" s="46"/>
      <c r="H62" s="46"/>
      <c r="M62" s="47"/>
    </row>
    <row r="63" spans="1:13" s="21" customFormat="1" x14ac:dyDescent="0.25">
      <c r="A63" s="12" t="s">
        <v>48</v>
      </c>
      <c r="B63" s="23"/>
      <c r="C63" s="22"/>
      <c r="D63" s="45"/>
      <c r="E63" s="25"/>
      <c r="F63" s="45"/>
      <c r="G63" s="46"/>
      <c r="H63" s="46"/>
      <c r="M63" s="47"/>
    </row>
    <row r="64" spans="1:13" s="21" customFormat="1" ht="24" x14ac:dyDescent="0.25">
      <c r="A64" s="23"/>
      <c r="B64" s="23" t="s">
        <v>11</v>
      </c>
      <c r="C64" s="22" t="s">
        <v>223</v>
      </c>
      <c r="D64" s="45">
        <f>0.625*1000</f>
        <v>625</v>
      </c>
      <c r="E64" s="25"/>
      <c r="F64" s="45"/>
      <c r="G64" s="46"/>
      <c r="H64" s="57"/>
      <c r="K64" s="47"/>
      <c r="M64" s="47"/>
    </row>
    <row r="65" spans="1:14" s="21" customFormat="1" x14ac:dyDescent="0.25">
      <c r="A65" s="23"/>
      <c r="B65" s="22"/>
      <c r="C65" s="15" t="s">
        <v>20</v>
      </c>
      <c r="D65" s="48">
        <f>SUM(D63:D64)</f>
        <v>625</v>
      </c>
      <c r="E65" s="25"/>
      <c r="F65" s="45"/>
      <c r="G65" s="46"/>
      <c r="H65" s="46"/>
      <c r="J65" s="47"/>
      <c r="M65" s="47"/>
    </row>
    <row r="66" spans="1:14" s="21" customFormat="1" x14ac:dyDescent="0.25">
      <c r="A66" s="23"/>
      <c r="B66" s="23"/>
      <c r="C66" s="22"/>
      <c r="D66" s="45"/>
      <c r="E66" s="25"/>
      <c r="F66" s="45"/>
      <c r="G66" s="46"/>
      <c r="H66" s="46"/>
      <c r="M66" s="47"/>
    </row>
    <row r="67" spans="1:14" s="21" customFormat="1" x14ac:dyDescent="0.25">
      <c r="A67" s="12" t="s">
        <v>18</v>
      </c>
      <c r="B67" s="22"/>
      <c r="C67" s="15"/>
      <c r="D67" s="45"/>
      <c r="E67" s="25"/>
      <c r="F67" s="45"/>
      <c r="G67" s="46"/>
      <c r="H67" s="46"/>
      <c r="I67" s="16"/>
      <c r="J67" s="51"/>
      <c r="K67" s="16"/>
      <c r="L67" s="16"/>
      <c r="M67" s="47"/>
    </row>
    <row r="68" spans="1:14" s="21" customFormat="1" ht="24" x14ac:dyDescent="0.25">
      <c r="A68" s="12"/>
      <c r="B68" s="22" t="s">
        <v>65</v>
      </c>
      <c r="C68" s="24" t="s">
        <v>151</v>
      </c>
      <c r="D68" s="45">
        <f>1*1000</f>
        <v>1000</v>
      </c>
      <c r="E68" s="25"/>
      <c r="F68" s="49"/>
      <c r="G68" s="46"/>
      <c r="H68" s="46"/>
      <c r="I68" s="16"/>
      <c r="J68" s="51"/>
      <c r="K68" s="16"/>
      <c r="L68" s="16"/>
      <c r="M68" s="47"/>
    </row>
    <row r="69" spans="1:14" s="21" customFormat="1" x14ac:dyDescent="0.25">
      <c r="A69" s="23"/>
      <c r="B69" s="22"/>
      <c r="C69" s="15" t="s">
        <v>20</v>
      </c>
      <c r="D69" s="48">
        <f>SUM(D68:D68)</f>
        <v>1000</v>
      </c>
      <c r="E69" s="25"/>
      <c r="F69" s="49"/>
      <c r="G69" s="46"/>
      <c r="H69" s="46"/>
      <c r="I69" s="16"/>
      <c r="J69" s="51"/>
      <c r="K69" s="16"/>
      <c r="L69" s="16"/>
      <c r="M69" s="47"/>
    </row>
    <row r="70" spans="1:14" s="21" customFormat="1" x14ac:dyDescent="0.25">
      <c r="A70" s="23"/>
      <c r="B70" s="22"/>
      <c r="C70" s="15"/>
      <c r="D70" s="45"/>
      <c r="E70" s="25"/>
      <c r="F70" s="45"/>
      <c r="G70" s="46"/>
      <c r="H70" s="46"/>
      <c r="I70" s="16"/>
      <c r="J70" s="51"/>
      <c r="K70" s="16"/>
      <c r="L70" s="16"/>
      <c r="M70" s="47"/>
    </row>
    <row r="71" spans="1:14" s="21" customFormat="1" x14ac:dyDescent="0.25">
      <c r="A71" s="37" t="s">
        <v>34</v>
      </c>
      <c r="B71" s="58"/>
      <c r="C71" s="59"/>
      <c r="D71" s="40">
        <f>SUM(D76,D81,D91,D127,D131,D151,D157,D163,D167,D175,D179)</f>
        <v>72732</v>
      </c>
      <c r="E71" s="40"/>
      <c r="F71" s="40">
        <f>SUM(F76,F81,F91,F127,F131,F151,F157,F163,F167,F175,F179)</f>
        <v>34410</v>
      </c>
      <c r="G71" s="46"/>
      <c r="H71" s="46"/>
      <c r="M71" s="47"/>
    </row>
    <row r="72" spans="1:14" s="21" customFormat="1" x14ac:dyDescent="0.25">
      <c r="A72" s="17" t="s">
        <v>231</v>
      </c>
      <c r="B72" s="26"/>
      <c r="C72" s="27"/>
      <c r="D72" s="45"/>
      <c r="E72" s="60"/>
      <c r="F72" s="45"/>
      <c r="G72" s="46"/>
      <c r="H72" s="46"/>
      <c r="I72" s="61"/>
      <c r="J72" s="61"/>
      <c r="K72" s="61"/>
      <c r="L72" s="61"/>
      <c r="M72" s="61"/>
      <c r="N72" s="62"/>
    </row>
    <row r="73" spans="1:14" s="21" customFormat="1" ht="24" x14ac:dyDescent="0.25">
      <c r="A73" s="17"/>
      <c r="B73" s="27" t="s">
        <v>11</v>
      </c>
      <c r="C73" s="27" t="s">
        <v>224</v>
      </c>
      <c r="D73" s="45">
        <f>2*1000</f>
        <v>2000</v>
      </c>
      <c r="E73" s="60"/>
      <c r="F73" s="25"/>
      <c r="G73" s="46"/>
      <c r="H73" s="46"/>
      <c r="I73" s="61"/>
      <c r="J73" s="61"/>
      <c r="K73" s="61"/>
      <c r="L73" s="61"/>
      <c r="M73" s="61"/>
      <c r="N73" s="62"/>
    </row>
    <row r="74" spans="1:14" s="21" customFormat="1" ht="24" x14ac:dyDescent="0.25">
      <c r="A74" s="17"/>
      <c r="B74" s="27" t="s">
        <v>11</v>
      </c>
      <c r="C74" s="27" t="s">
        <v>152</v>
      </c>
      <c r="D74" s="45">
        <f>0.25*1000</f>
        <v>250</v>
      </c>
      <c r="E74" s="60"/>
      <c r="F74" s="25"/>
      <c r="G74" s="46"/>
      <c r="H74" s="46"/>
      <c r="I74" s="61"/>
      <c r="J74" s="61"/>
      <c r="K74" s="61"/>
      <c r="L74" s="61"/>
      <c r="M74" s="61"/>
      <c r="N74" s="62"/>
    </row>
    <row r="75" spans="1:14" s="21" customFormat="1" ht="24" x14ac:dyDescent="0.25">
      <c r="A75" s="17"/>
      <c r="B75" s="27" t="s">
        <v>11</v>
      </c>
      <c r="C75" s="27" t="s">
        <v>153</v>
      </c>
      <c r="D75" s="45">
        <f>0.5*1000</f>
        <v>500</v>
      </c>
      <c r="E75" s="60"/>
      <c r="F75" s="25"/>
      <c r="G75" s="46"/>
      <c r="H75" s="46"/>
      <c r="I75" s="61"/>
      <c r="J75" s="61"/>
      <c r="K75" s="61"/>
      <c r="L75" s="61"/>
      <c r="M75" s="61"/>
      <c r="N75" s="62"/>
    </row>
    <row r="76" spans="1:14" s="21" customFormat="1" x14ac:dyDescent="0.25">
      <c r="A76" s="23"/>
      <c r="B76" s="27"/>
      <c r="C76" s="15" t="s">
        <v>20</v>
      </c>
      <c r="D76" s="48">
        <f>SUM(D73:D75)</f>
        <v>2750</v>
      </c>
      <c r="E76" s="60"/>
      <c r="F76" s="46"/>
      <c r="G76" s="46"/>
      <c r="H76" s="46"/>
      <c r="I76" s="61"/>
      <c r="J76" s="61"/>
      <c r="K76" s="61"/>
      <c r="L76" s="61"/>
      <c r="M76" s="61"/>
    </row>
    <row r="77" spans="1:14" s="21" customFormat="1" x14ac:dyDescent="0.25">
      <c r="A77" s="17"/>
      <c r="B77" s="22"/>
      <c r="C77" s="27"/>
      <c r="D77" s="45"/>
      <c r="E77" s="60"/>
      <c r="F77" s="45"/>
      <c r="G77" s="46"/>
      <c r="H77" s="46"/>
      <c r="I77" s="61"/>
      <c r="J77" s="61"/>
      <c r="K77" s="61"/>
      <c r="L77" s="61"/>
      <c r="M77" s="61"/>
      <c r="N77" s="62"/>
    </row>
    <row r="78" spans="1:14" s="21" customFormat="1" x14ac:dyDescent="0.25">
      <c r="A78" s="17" t="s">
        <v>76</v>
      </c>
      <c r="B78" s="26"/>
      <c r="C78" s="27"/>
      <c r="D78" s="45"/>
      <c r="E78" s="60"/>
      <c r="F78" s="45"/>
      <c r="G78" s="46"/>
      <c r="H78" s="46"/>
      <c r="I78" s="61"/>
      <c r="J78" s="61"/>
      <c r="K78" s="61"/>
      <c r="L78" s="61"/>
      <c r="M78" s="61"/>
      <c r="N78" s="62"/>
    </row>
    <row r="79" spans="1:14" s="21" customFormat="1" ht="24" x14ac:dyDescent="0.25">
      <c r="A79" s="17"/>
      <c r="B79" s="22" t="s">
        <v>4</v>
      </c>
      <c r="C79" s="27" t="s">
        <v>232</v>
      </c>
      <c r="D79" s="45">
        <f>1*1000</f>
        <v>1000</v>
      </c>
      <c r="E79" s="60"/>
      <c r="F79" s="49"/>
      <c r="G79" s="46"/>
      <c r="H79" s="46"/>
      <c r="I79" s="61"/>
      <c r="J79" s="61"/>
      <c r="K79" s="61"/>
      <c r="L79" s="61"/>
      <c r="M79" s="61"/>
      <c r="N79" s="62"/>
    </row>
    <row r="80" spans="1:14" s="21" customFormat="1" ht="36" customHeight="1" x14ac:dyDescent="0.25">
      <c r="A80" s="23"/>
      <c r="B80" s="27" t="s">
        <v>11</v>
      </c>
      <c r="C80" s="34" t="s">
        <v>154</v>
      </c>
      <c r="D80" s="45">
        <f t="shared" ref="D80" si="0">0.5*1000</f>
        <v>500</v>
      </c>
      <c r="E80" s="60"/>
      <c r="F80" s="49"/>
      <c r="G80" s="46"/>
      <c r="H80" s="46"/>
      <c r="I80" s="61"/>
      <c r="J80" s="61"/>
      <c r="K80" s="61"/>
      <c r="L80" s="61"/>
      <c r="M80" s="61"/>
    </row>
    <row r="81" spans="1:13" s="36" customFormat="1" x14ac:dyDescent="0.25">
      <c r="A81" s="13"/>
      <c r="B81" s="14"/>
      <c r="C81" s="15" t="s">
        <v>20</v>
      </c>
      <c r="D81" s="63">
        <f>SUM(D79:D80)</f>
        <v>1500</v>
      </c>
      <c r="E81" s="64"/>
      <c r="F81" s="65"/>
      <c r="G81" s="64"/>
      <c r="H81" s="64"/>
      <c r="I81" s="35"/>
      <c r="J81" s="66"/>
      <c r="K81" s="35"/>
      <c r="L81" s="35"/>
      <c r="M81" s="67"/>
    </row>
    <row r="82" spans="1:13" s="21" customFormat="1" x14ac:dyDescent="0.25">
      <c r="A82" s="37"/>
      <c r="B82" s="58"/>
      <c r="C82" s="59"/>
      <c r="D82" s="40"/>
      <c r="E82" s="40"/>
      <c r="F82" s="40"/>
      <c r="G82" s="46"/>
      <c r="H82" s="46"/>
      <c r="M82" s="47"/>
    </row>
    <row r="83" spans="1:13" s="21" customFormat="1" ht="24" customHeight="1" x14ac:dyDescent="0.25">
      <c r="A83" s="81" t="s">
        <v>233</v>
      </c>
      <c r="B83" s="81"/>
      <c r="C83" s="81"/>
      <c r="D83" s="45"/>
      <c r="E83" s="25"/>
      <c r="F83" s="45"/>
      <c r="G83" s="46"/>
      <c r="H83" s="46"/>
      <c r="M83" s="47"/>
    </row>
    <row r="84" spans="1:13" s="21" customFormat="1" x14ac:dyDescent="0.25">
      <c r="A84" s="23"/>
      <c r="B84" s="22" t="s">
        <v>41</v>
      </c>
      <c r="C84" s="24" t="s">
        <v>77</v>
      </c>
      <c r="D84" s="45"/>
      <c r="E84" s="25"/>
      <c r="F84" s="45">
        <f>0.5*1000</f>
        <v>500</v>
      </c>
      <c r="G84" s="25"/>
      <c r="H84" s="25"/>
      <c r="I84" s="16"/>
      <c r="J84" s="51"/>
      <c r="K84" s="16"/>
      <c r="L84" s="16"/>
      <c r="M84" s="47"/>
    </row>
    <row r="85" spans="1:13" s="21" customFormat="1" ht="36" x14ac:dyDescent="0.25">
      <c r="A85" s="12"/>
      <c r="B85" s="22" t="s">
        <v>234</v>
      </c>
      <c r="C85" s="24" t="s">
        <v>78</v>
      </c>
      <c r="D85" s="45"/>
      <c r="E85" s="25"/>
      <c r="F85" s="45">
        <f>0.75*1000</f>
        <v>750</v>
      </c>
      <c r="G85" s="25"/>
      <c r="H85" s="25"/>
      <c r="I85" s="16"/>
      <c r="J85" s="51"/>
      <c r="K85" s="16"/>
      <c r="L85" s="16"/>
      <c r="M85" s="47"/>
    </row>
    <row r="86" spans="1:13" s="21" customFormat="1" x14ac:dyDescent="0.25">
      <c r="A86" s="23"/>
      <c r="B86" s="22" t="s">
        <v>79</v>
      </c>
      <c r="C86" s="24" t="s">
        <v>80</v>
      </c>
      <c r="D86" s="45">
        <f>0.7*1000</f>
        <v>700</v>
      </c>
      <c r="E86" s="25"/>
      <c r="F86" s="45"/>
      <c r="G86" s="25"/>
      <c r="H86" s="25"/>
      <c r="I86" s="16"/>
      <c r="J86" s="51"/>
      <c r="K86" s="16"/>
      <c r="L86" s="16"/>
      <c r="M86" s="47"/>
    </row>
    <row r="87" spans="1:13" s="21" customFormat="1" ht="24" x14ac:dyDescent="0.25">
      <c r="A87" s="23"/>
      <c r="B87" s="22" t="s">
        <v>220</v>
      </c>
      <c r="C87" s="24" t="s">
        <v>81</v>
      </c>
      <c r="D87" s="45"/>
      <c r="E87" s="25"/>
      <c r="F87" s="45">
        <f>0.7*1000</f>
        <v>700</v>
      </c>
      <c r="G87" s="25"/>
      <c r="H87" s="25"/>
      <c r="I87" s="16"/>
      <c r="J87" s="51"/>
      <c r="K87" s="16"/>
      <c r="L87" s="16"/>
      <c r="M87" s="47"/>
    </row>
    <row r="88" spans="1:13" s="21" customFormat="1" x14ac:dyDescent="0.25">
      <c r="A88" s="23"/>
      <c r="B88" s="22" t="s">
        <v>68</v>
      </c>
      <c r="C88" s="24" t="s">
        <v>82</v>
      </c>
      <c r="D88" s="46"/>
      <c r="E88" s="25"/>
      <c r="F88" s="45">
        <f>0.4*1000</f>
        <v>400</v>
      </c>
      <c r="G88" s="25"/>
      <c r="H88" s="25"/>
      <c r="I88" s="16"/>
      <c r="J88" s="51"/>
      <c r="K88" s="16"/>
      <c r="L88" s="16"/>
      <c r="M88" s="47"/>
    </row>
    <row r="89" spans="1:13" s="21" customFormat="1" x14ac:dyDescent="0.25">
      <c r="A89" s="23"/>
      <c r="B89" s="22" t="s">
        <v>69</v>
      </c>
      <c r="C89" s="24" t="s">
        <v>70</v>
      </c>
      <c r="D89" s="45"/>
      <c r="E89" s="25"/>
      <c r="F89" s="45">
        <f>0.5*1000</f>
        <v>500</v>
      </c>
      <c r="G89" s="25"/>
      <c r="H89" s="25"/>
      <c r="I89" s="16"/>
      <c r="J89" s="51"/>
      <c r="K89" s="16"/>
      <c r="L89" s="16"/>
      <c r="M89" s="47"/>
    </row>
    <row r="90" spans="1:13" s="21" customFormat="1" ht="24" customHeight="1" x14ac:dyDescent="0.25">
      <c r="A90" s="23"/>
      <c r="B90" s="22" t="s">
        <v>11</v>
      </c>
      <c r="C90" s="24" t="s">
        <v>255</v>
      </c>
      <c r="D90" s="45">
        <f>0.9*1000</f>
        <v>900</v>
      </c>
      <c r="E90" s="25"/>
      <c r="F90" s="45"/>
      <c r="G90" s="25"/>
      <c r="H90" s="25"/>
      <c r="I90" s="16"/>
      <c r="J90" s="51"/>
      <c r="K90" s="16"/>
      <c r="L90" s="16"/>
      <c r="M90" s="47"/>
    </row>
    <row r="91" spans="1:13" s="36" customFormat="1" x14ac:dyDescent="0.25">
      <c r="A91" s="13"/>
      <c r="B91" s="14"/>
      <c r="C91" s="15" t="s">
        <v>20</v>
      </c>
      <c r="D91" s="63">
        <f>SUM(D84:D90)</f>
        <v>1600</v>
      </c>
      <c r="E91" s="64"/>
      <c r="F91" s="63">
        <f>SUM(F84:F90)</f>
        <v>2850</v>
      </c>
      <c r="G91" s="64"/>
      <c r="H91" s="64"/>
      <c r="I91" s="35"/>
      <c r="J91" s="66"/>
      <c r="K91" s="35"/>
      <c r="L91" s="35"/>
      <c r="M91" s="67"/>
    </row>
    <row r="92" spans="1:13" s="13" customFormat="1" x14ac:dyDescent="0.25">
      <c r="C92" s="14"/>
      <c r="D92" s="43"/>
      <c r="F92" s="43"/>
      <c r="M92" s="42"/>
    </row>
    <row r="93" spans="1:13" s="13" customFormat="1" x14ac:dyDescent="0.25">
      <c r="A93" s="12" t="s">
        <v>36</v>
      </c>
      <c r="C93" s="14"/>
      <c r="D93" s="43"/>
      <c r="F93" s="43"/>
      <c r="M93" s="42"/>
    </row>
    <row r="94" spans="1:13" s="13" customFormat="1" x14ac:dyDescent="0.25">
      <c r="A94" s="12"/>
      <c r="B94" s="22" t="s">
        <v>26</v>
      </c>
      <c r="C94" s="34" t="s">
        <v>83</v>
      </c>
      <c r="D94" s="45"/>
      <c r="E94" s="25"/>
      <c r="F94" s="45">
        <f>3*1000</f>
        <v>3000</v>
      </c>
      <c r="M94" s="42"/>
    </row>
    <row r="95" spans="1:13" s="13" customFormat="1" x14ac:dyDescent="0.25">
      <c r="A95" s="23"/>
      <c r="B95" s="22" t="s">
        <v>26</v>
      </c>
      <c r="C95" s="24" t="s">
        <v>84</v>
      </c>
      <c r="D95" s="45">
        <f>2*1000</f>
        <v>2000</v>
      </c>
      <c r="E95" s="25"/>
      <c r="F95" s="45"/>
      <c r="M95" s="42"/>
    </row>
    <row r="96" spans="1:13" s="13" customFormat="1" x14ac:dyDescent="0.25">
      <c r="A96" s="23"/>
      <c r="B96" s="22" t="s">
        <v>26</v>
      </c>
      <c r="C96" s="24" t="s">
        <v>85</v>
      </c>
      <c r="D96" s="45"/>
      <c r="E96" s="25"/>
      <c r="F96" s="45">
        <f>3*1000</f>
        <v>3000</v>
      </c>
      <c r="M96" s="42"/>
    </row>
    <row r="97" spans="1:13" s="13" customFormat="1" x14ac:dyDescent="0.25">
      <c r="A97" s="23"/>
      <c r="B97" s="22" t="s">
        <v>25</v>
      </c>
      <c r="C97" s="24" t="s">
        <v>86</v>
      </c>
      <c r="D97" s="45"/>
      <c r="E97" s="25"/>
      <c r="F97" s="45">
        <f>2.56*1000</f>
        <v>2560</v>
      </c>
      <c r="M97" s="42"/>
    </row>
    <row r="98" spans="1:13" s="13" customFormat="1" ht="24" x14ac:dyDescent="0.25">
      <c r="A98" s="23"/>
      <c r="B98" s="22" t="s">
        <v>67</v>
      </c>
      <c r="C98" s="24" t="s">
        <v>155</v>
      </c>
      <c r="D98" s="45"/>
      <c r="E98" s="25"/>
      <c r="F98" s="45">
        <f>3*1000</f>
        <v>3000</v>
      </c>
      <c r="M98" s="42"/>
    </row>
    <row r="99" spans="1:13" s="13" customFormat="1" ht="24" x14ac:dyDescent="0.25">
      <c r="A99" s="23"/>
      <c r="B99" s="22" t="s">
        <v>4</v>
      </c>
      <c r="C99" s="24" t="s">
        <v>156</v>
      </c>
      <c r="D99" s="45">
        <f>2*1000</f>
        <v>2000</v>
      </c>
      <c r="E99" s="25"/>
      <c r="F99" s="45"/>
      <c r="M99" s="42"/>
    </row>
    <row r="100" spans="1:13" s="13" customFormat="1" ht="24" x14ac:dyDescent="0.25">
      <c r="A100" s="23"/>
      <c r="B100" s="22" t="s">
        <v>6</v>
      </c>
      <c r="C100" s="24" t="s">
        <v>157</v>
      </c>
      <c r="D100" s="45">
        <f>2*1000</f>
        <v>2000</v>
      </c>
      <c r="E100" s="25"/>
      <c r="F100" s="45"/>
      <c r="M100" s="42"/>
    </row>
    <row r="101" spans="1:13" s="13" customFormat="1" ht="24" x14ac:dyDescent="0.25">
      <c r="A101" s="23"/>
      <c r="B101" s="22" t="s">
        <v>6</v>
      </c>
      <c r="C101" s="24" t="s">
        <v>158</v>
      </c>
      <c r="D101" s="45">
        <f>2*1000</f>
        <v>2000</v>
      </c>
      <c r="E101" s="25"/>
      <c r="F101" s="45"/>
      <c r="M101" s="42"/>
    </row>
    <row r="102" spans="1:13" s="13" customFormat="1" ht="24" x14ac:dyDescent="0.25">
      <c r="A102" s="23"/>
      <c r="B102" s="22" t="s">
        <v>65</v>
      </c>
      <c r="C102" s="24" t="s">
        <v>159</v>
      </c>
      <c r="D102" s="45">
        <f>2*1000</f>
        <v>2000</v>
      </c>
      <c r="E102" s="25"/>
      <c r="F102" s="45"/>
      <c r="M102" s="42"/>
    </row>
    <row r="103" spans="1:13" s="13" customFormat="1" ht="24" x14ac:dyDescent="0.25">
      <c r="A103" s="23"/>
      <c r="B103" s="22" t="s">
        <v>65</v>
      </c>
      <c r="C103" s="24" t="s">
        <v>160</v>
      </c>
      <c r="D103" s="45">
        <f>2*1000</f>
        <v>2000</v>
      </c>
      <c r="E103" s="25"/>
      <c r="F103" s="45"/>
      <c r="M103" s="42"/>
    </row>
    <row r="104" spans="1:13" s="13" customFormat="1" ht="36" x14ac:dyDescent="0.25">
      <c r="A104" s="23"/>
      <c r="B104" s="22" t="s">
        <v>87</v>
      </c>
      <c r="C104" s="24" t="s">
        <v>161</v>
      </c>
      <c r="D104" s="45">
        <f>0.275*1000</f>
        <v>275</v>
      </c>
      <c r="E104" s="25"/>
      <c r="F104" s="45"/>
      <c r="M104" s="42"/>
    </row>
    <row r="105" spans="1:13" s="13" customFormat="1" x14ac:dyDescent="0.25">
      <c r="A105" s="23"/>
      <c r="B105" s="22" t="s">
        <v>49</v>
      </c>
      <c r="C105" s="24" t="s">
        <v>88</v>
      </c>
      <c r="D105" s="45"/>
      <c r="E105" s="25"/>
      <c r="F105" s="45">
        <f>3*1000</f>
        <v>3000</v>
      </c>
      <c r="M105" s="42"/>
    </row>
    <row r="106" spans="1:13" s="13" customFormat="1" ht="24" x14ac:dyDescent="0.25">
      <c r="A106" s="23"/>
      <c r="B106" s="22" t="s">
        <v>17</v>
      </c>
      <c r="C106" s="24" t="s">
        <v>162</v>
      </c>
      <c r="D106" s="45">
        <f>1*1000</f>
        <v>1000</v>
      </c>
      <c r="E106" s="25"/>
      <c r="F106" s="45"/>
      <c r="M106" s="42"/>
    </row>
    <row r="107" spans="1:13" s="13" customFormat="1" x14ac:dyDescent="0.25">
      <c r="A107" s="23"/>
      <c r="B107" s="22" t="s">
        <v>5</v>
      </c>
      <c r="C107" s="24" t="s">
        <v>89</v>
      </c>
      <c r="D107" s="45">
        <f>2*1000</f>
        <v>2000</v>
      </c>
      <c r="E107" s="25"/>
      <c r="F107" s="45"/>
      <c r="M107" s="42"/>
    </row>
    <row r="108" spans="1:13" s="13" customFormat="1" x14ac:dyDescent="0.25">
      <c r="A108" s="23"/>
      <c r="B108" s="22" t="s">
        <v>5</v>
      </c>
      <c r="C108" s="24" t="s">
        <v>90</v>
      </c>
      <c r="D108" s="45"/>
      <c r="E108" s="25"/>
      <c r="F108" s="45">
        <f>3*1000</f>
        <v>3000</v>
      </c>
      <c r="M108" s="42"/>
    </row>
    <row r="109" spans="1:13" s="13" customFormat="1" x14ac:dyDescent="0.25">
      <c r="A109" s="23"/>
      <c r="B109" s="22" t="s">
        <v>5</v>
      </c>
      <c r="C109" s="24" t="s">
        <v>91</v>
      </c>
      <c r="D109" s="45">
        <f>2*1000</f>
        <v>2000</v>
      </c>
      <c r="E109" s="25"/>
      <c r="F109" s="45"/>
      <c r="M109" s="42"/>
    </row>
    <row r="110" spans="1:13" s="13" customFormat="1" ht="24" x14ac:dyDescent="0.25">
      <c r="A110" s="23"/>
      <c r="B110" s="22" t="s">
        <v>5</v>
      </c>
      <c r="C110" s="24" t="s">
        <v>225</v>
      </c>
      <c r="D110" s="45">
        <f>1.5*1000</f>
        <v>1500</v>
      </c>
      <c r="E110" s="25"/>
      <c r="F110" s="45"/>
      <c r="M110" s="42"/>
    </row>
    <row r="111" spans="1:13" s="13" customFormat="1" ht="24" x14ac:dyDescent="0.25">
      <c r="A111" s="23"/>
      <c r="B111" s="22" t="s">
        <v>220</v>
      </c>
      <c r="C111" s="24" t="s">
        <v>163</v>
      </c>
      <c r="D111" s="45">
        <f>2*1000</f>
        <v>2000</v>
      </c>
      <c r="E111" s="25"/>
      <c r="F111" s="45"/>
      <c r="M111" s="42"/>
    </row>
    <row r="112" spans="1:13" s="13" customFormat="1" x14ac:dyDescent="0.25">
      <c r="A112" s="23"/>
      <c r="B112" s="22" t="s">
        <v>69</v>
      </c>
      <c r="C112" s="24" t="s">
        <v>70</v>
      </c>
      <c r="D112" s="45"/>
      <c r="E112" s="25"/>
      <c r="F112" s="45">
        <f>3*1000</f>
        <v>3000</v>
      </c>
      <c r="M112" s="42"/>
    </row>
    <row r="113" spans="1:13" s="13" customFormat="1" ht="24" x14ac:dyDescent="0.25">
      <c r="A113" s="23"/>
      <c r="B113" s="22" t="s">
        <v>21</v>
      </c>
      <c r="C113" s="24" t="s">
        <v>164</v>
      </c>
      <c r="D113" s="45"/>
      <c r="E113" s="25"/>
      <c r="F113" s="45">
        <f>3*1000</f>
        <v>3000</v>
      </c>
      <c r="M113" s="42"/>
    </row>
    <row r="114" spans="1:13" s="13" customFormat="1" ht="24" x14ac:dyDescent="0.25">
      <c r="A114" s="23"/>
      <c r="B114" s="22" t="s">
        <v>21</v>
      </c>
      <c r="C114" s="24" t="s">
        <v>165</v>
      </c>
      <c r="D114" s="45">
        <f>2*1000</f>
        <v>2000</v>
      </c>
      <c r="E114" s="25"/>
      <c r="F114" s="45"/>
      <c r="M114" s="42"/>
    </row>
    <row r="115" spans="1:13" s="13" customFormat="1" x14ac:dyDescent="0.25">
      <c r="A115" s="23"/>
      <c r="B115" s="22" t="s">
        <v>35</v>
      </c>
      <c r="C115" s="24" t="s">
        <v>92</v>
      </c>
      <c r="D115" s="45"/>
      <c r="E115" s="25"/>
      <c r="F115" s="45">
        <f>3*1000</f>
        <v>3000</v>
      </c>
      <c r="M115" s="42"/>
    </row>
    <row r="116" spans="1:13" s="13" customFormat="1" x14ac:dyDescent="0.25">
      <c r="A116" s="23"/>
      <c r="B116" s="22" t="s">
        <v>11</v>
      </c>
      <c r="C116" s="24" t="s">
        <v>27</v>
      </c>
      <c r="D116" s="45">
        <f>1.977*1000</f>
        <v>1977</v>
      </c>
      <c r="E116" s="25"/>
      <c r="F116" s="45"/>
      <c r="M116" s="42"/>
    </row>
    <row r="117" spans="1:13" s="13" customFormat="1" x14ac:dyDescent="0.25">
      <c r="A117" s="23"/>
      <c r="B117" s="22" t="s">
        <v>11</v>
      </c>
      <c r="C117" s="24" t="s">
        <v>93</v>
      </c>
      <c r="D117" s="45">
        <f>2*1000</f>
        <v>2000</v>
      </c>
      <c r="E117" s="25"/>
      <c r="F117" s="45"/>
      <c r="M117" s="42"/>
    </row>
    <row r="118" spans="1:13" s="13" customFormat="1" ht="24" x14ac:dyDescent="0.25">
      <c r="A118" s="23"/>
      <c r="B118" s="22" t="s">
        <v>11</v>
      </c>
      <c r="C118" s="24" t="s">
        <v>166</v>
      </c>
      <c r="D118" s="45">
        <f>2*1000</f>
        <v>2000</v>
      </c>
      <c r="E118" s="25"/>
      <c r="F118" s="45"/>
      <c r="M118" s="42"/>
    </row>
    <row r="119" spans="1:13" s="13" customFormat="1" ht="36" x14ac:dyDescent="0.25">
      <c r="A119" s="23"/>
      <c r="B119" s="22" t="s">
        <v>11</v>
      </c>
      <c r="C119" s="24" t="s">
        <v>226</v>
      </c>
      <c r="D119" s="45">
        <f>2*1000</f>
        <v>2000</v>
      </c>
      <c r="E119" s="25"/>
      <c r="F119" s="45"/>
      <c r="M119" s="42"/>
    </row>
    <row r="120" spans="1:13" s="13" customFormat="1" ht="24" x14ac:dyDescent="0.25">
      <c r="A120" s="23"/>
      <c r="B120" s="22" t="s">
        <v>11</v>
      </c>
      <c r="C120" s="24" t="s">
        <v>167</v>
      </c>
      <c r="D120" s="45">
        <f>1.5*1000</f>
        <v>1500</v>
      </c>
      <c r="E120" s="25"/>
      <c r="F120" s="45"/>
      <c r="M120" s="42"/>
    </row>
    <row r="121" spans="1:13" s="13" customFormat="1" ht="24" x14ac:dyDescent="0.25">
      <c r="A121" s="23"/>
      <c r="B121" s="22" t="s">
        <v>11</v>
      </c>
      <c r="C121" s="24" t="s">
        <v>168</v>
      </c>
      <c r="D121" s="45">
        <f>2*1000</f>
        <v>2000</v>
      </c>
      <c r="E121" s="25"/>
      <c r="F121" s="45"/>
      <c r="M121" s="42"/>
    </row>
    <row r="122" spans="1:13" s="13" customFormat="1" ht="24" x14ac:dyDescent="0.25">
      <c r="A122" s="23"/>
      <c r="B122" s="22" t="s">
        <v>11</v>
      </c>
      <c r="C122" s="24" t="s">
        <v>169</v>
      </c>
      <c r="D122" s="45">
        <f>2*1000</f>
        <v>2000</v>
      </c>
      <c r="E122" s="25"/>
      <c r="F122" s="45"/>
      <c r="M122" s="42"/>
    </row>
    <row r="123" spans="1:13" s="13" customFormat="1" ht="24" x14ac:dyDescent="0.25">
      <c r="A123" s="23"/>
      <c r="B123" s="22" t="s">
        <v>11</v>
      </c>
      <c r="C123" s="24" t="s">
        <v>170</v>
      </c>
      <c r="D123" s="45">
        <f>2*1000</f>
        <v>2000</v>
      </c>
      <c r="E123" s="25"/>
      <c r="F123" s="45"/>
      <c r="M123" s="42"/>
    </row>
    <row r="124" spans="1:13" s="13" customFormat="1" ht="36" customHeight="1" x14ac:dyDescent="0.25">
      <c r="A124" s="23"/>
      <c r="B124" s="22" t="s">
        <v>11</v>
      </c>
      <c r="C124" s="24" t="s">
        <v>254</v>
      </c>
      <c r="D124" s="45">
        <f>1.6*1000</f>
        <v>1600</v>
      </c>
      <c r="E124" s="25"/>
      <c r="F124" s="45"/>
      <c r="M124" s="42"/>
    </row>
    <row r="125" spans="1:13" s="13" customFormat="1" ht="24" x14ac:dyDescent="0.25">
      <c r="A125" s="23"/>
      <c r="B125" s="22" t="s">
        <v>11</v>
      </c>
      <c r="C125" s="24" t="s">
        <v>171</v>
      </c>
      <c r="D125" s="45">
        <f>1.17*1000</f>
        <v>1170</v>
      </c>
      <c r="E125" s="25"/>
      <c r="F125" s="45"/>
      <c r="M125" s="42"/>
    </row>
    <row r="126" spans="1:13" s="13" customFormat="1" ht="48" customHeight="1" x14ac:dyDescent="0.25">
      <c r="A126" s="23"/>
      <c r="B126" s="22" t="s">
        <v>11</v>
      </c>
      <c r="C126" s="24" t="s">
        <v>227</v>
      </c>
      <c r="D126" s="45">
        <f>2*1000</f>
        <v>2000</v>
      </c>
      <c r="E126" s="25"/>
      <c r="F126" s="45"/>
      <c r="M126" s="42"/>
    </row>
    <row r="127" spans="1:13" s="13" customFormat="1" x14ac:dyDescent="0.25">
      <c r="A127" s="23"/>
      <c r="B127" s="22"/>
      <c r="C127" s="15" t="s">
        <v>20</v>
      </c>
      <c r="D127" s="48">
        <f>SUM(D94:D126)</f>
        <v>43022</v>
      </c>
      <c r="E127" s="25"/>
      <c r="F127" s="48">
        <f>SUM(F94:F126)</f>
        <v>26560</v>
      </c>
      <c r="M127" s="42"/>
    </row>
    <row r="128" spans="1:13" s="13" customFormat="1" x14ac:dyDescent="0.25">
      <c r="C128" s="14"/>
      <c r="D128" s="43"/>
      <c r="F128" s="43"/>
      <c r="M128" s="42"/>
    </row>
    <row r="129" spans="1:13" s="13" customFormat="1" x14ac:dyDescent="0.25">
      <c r="A129" s="12" t="s">
        <v>37</v>
      </c>
      <c r="C129" s="14"/>
      <c r="D129" s="43"/>
      <c r="F129" s="43"/>
      <c r="M129" s="42"/>
    </row>
    <row r="130" spans="1:13" s="13" customFormat="1" ht="24" x14ac:dyDescent="0.25">
      <c r="A130" s="23"/>
      <c r="B130" s="22" t="s">
        <v>94</v>
      </c>
      <c r="C130" s="24" t="s">
        <v>172</v>
      </c>
      <c r="D130" s="45"/>
      <c r="E130" s="25"/>
      <c r="F130" s="45">
        <f>5*1000</f>
        <v>5000</v>
      </c>
      <c r="M130" s="42"/>
    </row>
    <row r="131" spans="1:13" s="13" customFormat="1" x14ac:dyDescent="0.25">
      <c r="A131" s="23"/>
      <c r="B131" s="22"/>
      <c r="C131" s="15" t="s">
        <v>20</v>
      </c>
      <c r="D131" s="43"/>
      <c r="E131" s="25"/>
      <c r="F131" s="48">
        <f>SUM(F130)</f>
        <v>5000</v>
      </c>
      <c r="M131" s="42"/>
    </row>
    <row r="132" spans="1:13" s="13" customFormat="1" x14ac:dyDescent="0.25">
      <c r="C132" s="14"/>
      <c r="D132" s="43"/>
      <c r="F132" s="43"/>
      <c r="M132" s="42"/>
    </row>
    <row r="133" spans="1:13" s="13" customFormat="1" x14ac:dyDescent="0.25">
      <c r="A133" s="12" t="s">
        <v>23</v>
      </c>
      <c r="C133" s="14"/>
      <c r="D133" s="43"/>
      <c r="F133" s="43"/>
      <c r="M133" s="42"/>
    </row>
    <row r="134" spans="1:13" s="13" customFormat="1" ht="24" x14ac:dyDescent="0.25">
      <c r="A134" s="23"/>
      <c r="B134" s="22" t="s">
        <v>3</v>
      </c>
      <c r="C134" s="24" t="s">
        <v>235</v>
      </c>
      <c r="D134" s="45">
        <f>0.75*1000</f>
        <v>750</v>
      </c>
      <c r="E134" s="25"/>
      <c r="F134" s="45"/>
      <c r="M134" s="42"/>
    </row>
    <row r="135" spans="1:13" s="13" customFormat="1" ht="24" customHeight="1" x14ac:dyDescent="0.25">
      <c r="A135" s="23"/>
      <c r="B135" s="22" t="s">
        <v>4</v>
      </c>
      <c r="C135" s="24" t="s">
        <v>236</v>
      </c>
      <c r="D135" s="45">
        <f>1*1000</f>
        <v>1000</v>
      </c>
      <c r="E135" s="25"/>
      <c r="F135" s="45"/>
      <c r="M135" s="42"/>
    </row>
    <row r="136" spans="1:13" s="13" customFormat="1" ht="24" x14ac:dyDescent="0.25">
      <c r="A136" s="23"/>
      <c r="B136" s="22" t="s">
        <v>4</v>
      </c>
      <c r="C136" s="24" t="s">
        <v>173</v>
      </c>
      <c r="D136" s="45">
        <f>1*1000</f>
        <v>1000</v>
      </c>
      <c r="E136" s="25"/>
      <c r="F136" s="45"/>
      <c r="M136" s="42"/>
    </row>
    <row r="137" spans="1:13" s="13" customFormat="1" ht="24" x14ac:dyDescent="0.25">
      <c r="A137" s="23"/>
      <c r="B137" s="22" t="s">
        <v>21</v>
      </c>
      <c r="C137" s="24" t="s">
        <v>174</v>
      </c>
      <c r="D137" s="45">
        <f>1*1000</f>
        <v>1000</v>
      </c>
      <c r="E137" s="25"/>
      <c r="F137" s="45"/>
      <c r="M137" s="42"/>
    </row>
    <row r="138" spans="1:13" s="13" customFormat="1" x14ac:dyDescent="0.25">
      <c r="A138" s="23"/>
      <c r="B138" s="22" t="s">
        <v>11</v>
      </c>
      <c r="C138" s="24" t="s">
        <v>27</v>
      </c>
      <c r="D138" s="45">
        <f>0.5*1000</f>
        <v>500</v>
      </c>
      <c r="E138" s="25"/>
      <c r="F138" s="45"/>
      <c r="M138" s="42"/>
    </row>
    <row r="139" spans="1:13" s="13" customFormat="1" x14ac:dyDescent="0.25">
      <c r="A139" s="23"/>
      <c r="B139" s="22" t="s">
        <v>11</v>
      </c>
      <c r="C139" s="24" t="s">
        <v>95</v>
      </c>
      <c r="D139" s="45">
        <f>5*1000</f>
        <v>5000</v>
      </c>
      <c r="E139" s="25"/>
      <c r="F139" s="45"/>
      <c r="M139" s="42"/>
    </row>
    <row r="140" spans="1:13" s="13" customFormat="1" x14ac:dyDescent="0.25">
      <c r="A140" s="23"/>
      <c r="B140" s="22" t="s">
        <v>11</v>
      </c>
      <c r="C140" s="24" t="s">
        <v>96</v>
      </c>
      <c r="D140" s="45">
        <f>1*1000</f>
        <v>1000</v>
      </c>
      <c r="E140" s="25"/>
      <c r="F140" s="45"/>
      <c r="M140" s="42"/>
    </row>
    <row r="141" spans="1:13" s="13" customFormat="1" ht="24" x14ac:dyDescent="0.25">
      <c r="A141" s="23"/>
      <c r="B141" s="22" t="s">
        <v>11</v>
      </c>
      <c r="C141" s="24" t="s">
        <v>175</v>
      </c>
      <c r="D141" s="45">
        <f>0.24*1000</f>
        <v>240</v>
      </c>
      <c r="E141" s="25"/>
      <c r="F141" s="45"/>
      <c r="M141" s="42"/>
    </row>
    <row r="142" spans="1:13" s="13" customFormat="1" ht="36" x14ac:dyDescent="0.25">
      <c r="A142" s="23"/>
      <c r="B142" s="22" t="s">
        <v>11</v>
      </c>
      <c r="C142" s="24" t="s">
        <v>176</v>
      </c>
      <c r="D142" s="45">
        <f>0.3*1000</f>
        <v>300</v>
      </c>
      <c r="E142" s="25"/>
      <c r="F142" s="45"/>
      <c r="M142" s="42"/>
    </row>
    <row r="143" spans="1:13" s="13" customFormat="1" x14ac:dyDescent="0.25">
      <c r="A143" s="23"/>
      <c r="B143" s="22" t="s">
        <v>11</v>
      </c>
      <c r="C143" s="24" t="s">
        <v>97</v>
      </c>
      <c r="D143" s="45">
        <f>0.25*1000</f>
        <v>250</v>
      </c>
      <c r="E143" s="25"/>
      <c r="F143" s="45"/>
      <c r="M143" s="42"/>
    </row>
    <row r="144" spans="1:13" s="13" customFormat="1" ht="24" x14ac:dyDescent="0.25">
      <c r="A144" s="23"/>
      <c r="B144" s="22" t="s">
        <v>11</v>
      </c>
      <c r="C144" s="24" t="s">
        <v>237</v>
      </c>
      <c r="D144" s="45">
        <f>0.6*1000</f>
        <v>600</v>
      </c>
      <c r="E144" s="25"/>
      <c r="F144" s="45"/>
      <c r="M144" s="42"/>
    </row>
    <row r="145" spans="1:14" s="13" customFormat="1" ht="24" x14ac:dyDescent="0.25">
      <c r="A145" s="23"/>
      <c r="B145" s="22" t="s">
        <v>11</v>
      </c>
      <c r="C145" s="24" t="s">
        <v>153</v>
      </c>
      <c r="D145" s="45">
        <f>0.5*1000</f>
        <v>500</v>
      </c>
      <c r="E145" s="25"/>
      <c r="F145" s="45"/>
      <c r="M145" s="42"/>
    </row>
    <row r="146" spans="1:14" s="13" customFormat="1" ht="24.75" customHeight="1" x14ac:dyDescent="0.25">
      <c r="A146" s="23"/>
      <c r="B146" s="22" t="s">
        <v>11</v>
      </c>
      <c r="C146" s="24" t="s">
        <v>177</v>
      </c>
      <c r="D146" s="45">
        <f>1.1*1000</f>
        <v>1100</v>
      </c>
      <c r="E146" s="25"/>
      <c r="F146" s="45"/>
      <c r="M146" s="42"/>
    </row>
    <row r="147" spans="1:14" s="13" customFormat="1" ht="24" x14ac:dyDescent="0.25">
      <c r="A147" s="23"/>
      <c r="B147" s="22" t="s">
        <v>11</v>
      </c>
      <c r="C147" s="24" t="s">
        <v>178</v>
      </c>
      <c r="D147" s="45">
        <f>1*1000</f>
        <v>1000</v>
      </c>
      <c r="E147" s="25"/>
      <c r="F147" s="49"/>
      <c r="M147" s="42"/>
    </row>
    <row r="148" spans="1:14" s="13" customFormat="1" ht="24" x14ac:dyDescent="0.25">
      <c r="A148" s="23"/>
      <c r="B148" s="22" t="s">
        <v>11</v>
      </c>
      <c r="C148" s="24" t="s">
        <v>228</v>
      </c>
      <c r="D148" s="45">
        <f>1*1000</f>
        <v>1000</v>
      </c>
      <c r="E148" s="25"/>
      <c r="F148" s="45"/>
      <c r="M148" s="42"/>
    </row>
    <row r="149" spans="1:14" s="13" customFormat="1" ht="24" x14ac:dyDescent="0.25">
      <c r="A149" s="23"/>
      <c r="B149" s="22" t="s">
        <v>11</v>
      </c>
      <c r="C149" s="24" t="s">
        <v>179</v>
      </c>
      <c r="D149" s="45">
        <f>0.55*1000</f>
        <v>550</v>
      </c>
      <c r="E149" s="25"/>
      <c r="F149" s="45"/>
      <c r="M149" s="42"/>
    </row>
    <row r="150" spans="1:14" s="13" customFormat="1" ht="24" x14ac:dyDescent="0.25">
      <c r="A150" s="23"/>
      <c r="B150" s="22" t="s">
        <v>11</v>
      </c>
      <c r="C150" s="24" t="s">
        <v>180</v>
      </c>
      <c r="D150" s="45">
        <f>1*1000</f>
        <v>1000</v>
      </c>
      <c r="E150" s="25"/>
      <c r="F150" s="45"/>
      <c r="M150" s="42"/>
    </row>
    <row r="151" spans="1:14" s="13" customFormat="1" ht="11.25" customHeight="1" x14ac:dyDescent="0.25">
      <c r="A151" s="23"/>
      <c r="B151" s="22"/>
      <c r="C151" s="15" t="s">
        <v>20</v>
      </c>
      <c r="D151" s="68">
        <f>SUM(D134:D150)</f>
        <v>16790</v>
      </c>
      <c r="E151" s="25"/>
      <c r="F151" s="49"/>
      <c r="M151" s="42"/>
    </row>
    <row r="152" spans="1:14" s="13" customFormat="1" hidden="1" x14ac:dyDescent="0.25">
      <c r="C152" s="14"/>
      <c r="D152" s="43"/>
      <c r="F152" s="43"/>
      <c r="M152" s="42"/>
    </row>
    <row r="153" spans="1:14" s="21" customFormat="1" x14ac:dyDescent="0.25">
      <c r="A153" s="17" t="s">
        <v>98</v>
      </c>
      <c r="B153" s="26"/>
      <c r="C153" s="27"/>
      <c r="D153" s="45"/>
      <c r="E153" s="60"/>
      <c r="F153" s="45"/>
      <c r="G153" s="46"/>
      <c r="H153" s="46"/>
      <c r="I153" s="61"/>
      <c r="J153" s="61"/>
      <c r="K153" s="61"/>
      <c r="L153" s="61"/>
      <c r="M153" s="61"/>
      <c r="N153" s="62"/>
    </row>
    <row r="154" spans="1:14" s="21" customFormat="1" ht="24" x14ac:dyDescent="0.25">
      <c r="A154" s="17"/>
      <c r="B154" s="22" t="s">
        <v>22</v>
      </c>
      <c r="C154" s="27" t="s">
        <v>181</v>
      </c>
      <c r="D154" s="45">
        <f>0.3*1000</f>
        <v>300</v>
      </c>
      <c r="E154" s="60"/>
      <c r="F154" s="25"/>
      <c r="G154" s="46"/>
      <c r="H154" s="46"/>
      <c r="I154" s="61"/>
      <c r="J154" s="61"/>
      <c r="K154" s="61"/>
      <c r="L154" s="61"/>
      <c r="M154" s="61"/>
      <c r="N154" s="62"/>
    </row>
    <row r="155" spans="1:14" s="21" customFormat="1" ht="24" x14ac:dyDescent="0.25">
      <c r="A155" s="17"/>
      <c r="B155" s="22" t="s">
        <v>21</v>
      </c>
      <c r="C155" s="27" t="s">
        <v>165</v>
      </c>
      <c r="D155" s="45">
        <f>0.3*1000</f>
        <v>300</v>
      </c>
      <c r="E155" s="60"/>
      <c r="F155" s="25"/>
      <c r="G155" s="46"/>
      <c r="H155" s="46"/>
      <c r="I155" s="61"/>
      <c r="J155" s="61"/>
      <c r="K155" s="61"/>
      <c r="L155" s="61"/>
      <c r="M155" s="61"/>
      <c r="N155" s="62"/>
    </row>
    <row r="156" spans="1:14" s="21" customFormat="1" ht="24" x14ac:dyDescent="0.25">
      <c r="A156" s="17"/>
      <c r="B156" s="26" t="s">
        <v>11</v>
      </c>
      <c r="C156" s="27" t="s">
        <v>153</v>
      </c>
      <c r="D156" s="45">
        <f t="shared" ref="D156" si="1">0.5*1000</f>
        <v>500</v>
      </c>
      <c r="E156" s="60"/>
      <c r="F156" s="25"/>
      <c r="G156" s="46"/>
      <c r="H156" s="46"/>
      <c r="I156" s="61"/>
      <c r="J156" s="61"/>
      <c r="K156" s="61"/>
      <c r="L156" s="61"/>
      <c r="M156" s="61"/>
      <c r="N156" s="62"/>
    </row>
    <row r="157" spans="1:14" s="21" customFormat="1" x14ac:dyDescent="0.25">
      <c r="A157" s="23"/>
      <c r="B157" s="27"/>
      <c r="C157" s="15" t="s">
        <v>20</v>
      </c>
      <c r="D157" s="48">
        <f>SUM(D154:D156)</f>
        <v>1100</v>
      </c>
      <c r="E157" s="60"/>
      <c r="F157" s="25"/>
      <c r="G157" s="46"/>
      <c r="H157" s="46"/>
      <c r="I157" s="61"/>
      <c r="J157" s="61"/>
      <c r="K157" s="61"/>
      <c r="L157" s="61"/>
      <c r="M157" s="61"/>
    </row>
    <row r="158" spans="1:14" s="21" customFormat="1" x14ac:dyDescent="0.25">
      <c r="A158" s="23"/>
      <c r="B158" s="27"/>
      <c r="C158" s="15"/>
      <c r="D158" s="45"/>
      <c r="E158" s="60"/>
      <c r="F158" s="25"/>
      <c r="G158" s="46"/>
      <c r="H158" s="46"/>
      <c r="I158" s="61"/>
      <c r="J158" s="61"/>
      <c r="K158" s="61"/>
      <c r="L158" s="61"/>
      <c r="M158" s="61"/>
    </row>
    <row r="159" spans="1:14" s="21" customFormat="1" x14ac:dyDescent="0.25">
      <c r="A159" s="55" t="s">
        <v>99</v>
      </c>
      <c r="B159" s="22"/>
      <c r="C159" s="15"/>
      <c r="D159" s="25"/>
      <c r="E159" s="25"/>
      <c r="F159" s="49"/>
      <c r="G159" s="46"/>
      <c r="H159" s="46"/>
      <c r="I159" s="61"/>
      <c r="J159" s="61"/>
      <c r="K159" s="61"/>
      <c r="L159" s="61"/>
      <c r="M159" s="61"/>
    </row>
    <row r="160" spans="1:14" s="21" customFormat="1" ht="24" x14ac:dyDescent="0.25">
      <c r="A160" s="23"/>
      <c r="B160" s="22" t="s">
        <v>67</v>
      </c>
      <c r="C160" s="34" t="s">
        <v>182</v>
      </c>
      <c r="D160" s="45">
        <f>0.6*1000</f>
        <v>600</v>
      </c>
      <c r="E160" s="25"/>
      <c r="F160" s="49"/>
      <c r="G160" s="46"/>
      <c r="H160" s="46"/>
      <c r="I160" s="61"/>
      <c r="J160" s="61"/>
      <c r="K160" s="61"/>
      <c r="L160" s="61"/>
      <c r="M160" s="61"/>
    </row>
    <row r="161" spans="1:13" s="21" customFormat="1" ht="24" x14ac:dyDescent="0.25">
      <c r="A161" s="23"/>
      <c r="B161" s="22" t="s">
        <v>4</v>
      </c>
      <c r="C161" s="34" t="s">
        <v>183</v>
      </c>
      <c r="D161" s="45">
        <f>0.15*1000</f>
        <v>150</v>
      </c>
      <c r="E161" s="25"/>
      <c r="F161" s="49"/>
      <c r="G161" s="46"/>
      <c r="H161" s="46"/>
      <c r="I161" s="61"/>
      <c r="J161" s="61"/>
      <c r="K161" s="61"/>
      <c r="L161" s="61"/>
      <c r="M161" s="61"/>
    </row>
    <row r="162" spans="1:13" s="21" customFormat="1" ht="24" x14ac:dyDescent="0.25">
      <c r="A162" s="23"/>
      <c r="B162" s="22" t="s">
        <v>11</v>
      </c>
      <c r="C162" s="34" t="s">
        <v>184</v>
      </c>
      <c r="D162" s="45">
        <f>1.5*1000</f>
        <v>1500</v>
      </c>
      <c r="E162" s="25"/>
      <c r="F162" s="49"/>
      <c r="G162" s="46"/>
      <c r="H162" s="46"/>
      <c r="I162" s="61"/>
      <c r="J162" s="61"/>
      <c r="K162" s="61"/>
      <c r="L162" s="61"/>
      <c r="M162" s="61"/>
    </row>
    <row r="163" spans="1:13" s="21" customFormat="1" x14ac:dyDescent="0.25">
      <c r="A163" s="13"/>
      <c r="B163" s="14"/>
      <c r="C163" s="15" t="s">
        <v>20</v>
      </c>
      <c r="D163" s="63">
        <f>SUM(D160:D162)</f>
        <v>2250</v>
      </c>
      <c r="E163" s="64"/>
      <c r="F163" s="65"/>
      <c r="G163" s="46"/>
      <c r="H163" s="46"/>
      <c r="I163" s="61"/>
      <c r="J163" s="61"/>
      <c r="K163" s="61"/>
      <c r="L163" s="61"/>
      <c r="M163" s="61"/>
    </row>
    <row r="164" spans="1:13" s="21" customFormat="1" x14ac:dyDescent="0.25">
      <c r="A164" s="23"/>
      <c r="B164" s="27"/>
      <c r="C164" s="15"/>
      <c r="D164" s="45"/>
      <c r="E164" s="60"/>
      <c r="F164" s="25"/>
      <c r="G164" s="46"/>
      <c r="H164" s="46"/>
      <c r="I164" s="61"/>
      <c r="J164" s="61"/>
      <c r="K164" s="61"/>
      <c r="L164" s="61"/>
      <c r="M164" s="61"/>
    </row>
    <row r="165" spans="1:13" s="21" customFormat="1" x14ac:dyDescent="0.25">
      <c r="A165" s="55" t="s">
        <v>51</v>
      </c>
      <c r="B165" s="22"/>
      <c r="C165" s="15"/>
      <c r="D165" s="45"/>
      <c r="E165" s="25"/>
      <c r="F165" s="45"/>
      <c r="G165" s="46"/>
      <c r="H165" s="46"/>
      <c r="J165" s="47"/>
      <c r="M165" s="47"/>
    </row>
    <row r="166" spans="1:13" s="21" customFormat="1" ht="24" x14ac:dyDescent="0.25">
      <c r="A166" s="23"/>
      <c r="B166" s="22" t="s">
        <v>100</v>
      </c>
      <c r="C166" s="34" t="s">
        <v>238</v>
      </c>
      <c r="D166" s="56">
        <f>0.4*1000</f>
        <v>400</v>
      </c>
      <c r="E166" s="25"/>
      <c r="F166" s="45"/>
      <c r="G166" s="46"/>
      <c r="H166" s="46"/>
      <c r="J166" s="47"/>
      <c r="M166" s="47"/>
    </row>
    <row r="167" spans="1:13" s="21" customFormat="1" x14ac:dyDescent="0.25">
      <c r="A167" s="23"/>
      <c r="B167" s="22"/>
      <c r="C167" s="15" t="s">
        <v>20</v>
      </c>
      <c r="D167" s="56">
        <f t="shared" ref="D167" si="2">SUM(D166)</f>
        <v>400</v>
      </c>
      <c r="E167" s="49"/>
      <c r="F167" s="49"/>
      <c r="G167" s="46"/>
      <c r="H167" s="46"/>
      <c r="J167" s="47"/>
      <c r="M167" s="47"/>
    </row>
    <row r="168" spans="1:13" s="21" customFormat="1" x14ac:dyDescent="0.25">
      <c r="A168" s="23"/>
      <c r="B168" s="27"/>
      <c r="C168" s="15"/>
      <c r="D168" s="45"/>
      <c r="E168" s="60"/>
      <c r="F168" s="25"/>
      <c r="G168" s="46"/>
      <c r="H168" s="46"/>
      <c r="I168" s="61"/>
      <c r="J168" s="61"/>
      <c r="K168" s="61"/>
      <c r="L168" s="61"/>
      <c r="M168" s="61"/>
    </row>
    <row r="169" spans="1:13" s="21" customFormat="1" x14ac:dyDescent="0.25">
      <c r="A169" s="12" t="s">
        <v>239</v>
      </c>
      <c r="B169" s="23"/>
      <c r="C169" s="22"/>
      <c r="D169" s="45"/>
      <c r="E169" s="25"/>
      <c r="F169" s="45"/>
      <c r="G169" s="46"/>
      <c r="H169" s="46"/>
      <c r="M169" s="47"/>
    </row>
    <row r="170" spans="1:13" s="21" customFormat="1" ht="24" x14ac:dyDescent="0.25">
      <c r="A170" s="23"/>
      <c r="B170" s="23" t="s">
        <v>11</v>
      </c>
      <c r="C170" s="22" t="s">
        <v>224</v>
      </c>
      <c r="D170" s="45">
        <f>0.5*1000</f>
        <v>500</v>
      </c>
      <c r="E170" s="25"/>
      <c r="F170" s="45"/>
      <c r="G170" s="46"/>
      <c r="H170" s="57"/>
      <c r="K170" s="47"/>
      <c r="M170" s="47"/>
    </row>
    <row r="171" spans="1:13" s="21" customFormat="1" ht="24" x14ac:dyDescent="0.25">
      <c r="A171" s="23"/>
      <c r="B171" s="23" t="s">
        <v>11</v>
      </c>
      <c r="C171" s="22" t="s">
        <v>185</v>
      </c>
      <c r="D171" s="45">
        <f>0.45*1000</f>
        <v>450</v>
      </c>
      <c r="E171" s="25"/>
      <c r="F171" s="45"/>
      <c r="G171" s="46"/>
      <c r="H171" s="57"/>
      <c r="K171" s="47"/>
      <c r="M171" s="47"/>
    </row>
    <row r="172" spans="1:13" s="21" customFormat="1" ht="24" x14ac:dyDescent="0.25">
      <c r="A172" s="23"/>
      <c r="B172" s="23" t="s">
        <v>11</v>
      </c>
      <c r="C172" s="22" t="s">
        <v>145</v>
      </c>
      <c r="D172" s="45">
        <f>0.27*1000</f>
        <v>270</v>
      </c>
      <c r="E172" s="25"/>
      <c r="F172" s="45"/>
      <c r="G172" s="46"/>
      <c r="H172" s="57"/>
      <c r="K172" s="47"/>
      <c r="M172" s="47"/>
    </row>
    <row r="173" spans="1:13" s="21" customFormat="1" ht="24" x14ac:dyDescent="0.25">
      <c r="A173" s="23"/>
      <c r="B173" s="23" t="s">
        <v>11</v>
      </c>
      <c r="C173" s="22" t="s">
        <v>153</v>
      </c>
      <c r="D173" s="45">
        <f>0.9*1000</f>
        <v>900</v>
      </c>
      <c r="E173" s="25"/>
      <c r="F173" s="45"/>
      <c r="G173" s="46"/>
      <c r="H173" s="57"/>
      <c r="K173" s="47"/>
      <c r="M173" s="47"/>
    </row>
    <row r="174" spans="1:13" s="21" customFormat="1" ht="24" x14ac:dyDescent="0.25">
      <c r="A174" s="23"/>
      <c r="B174" s="23" t="s">
        <v>11</v>
      </c>
      <c r="C174" s="22" t="s">
        <v>240</v>
      </c>
      <c r="D174" s="45">
        <f>0.2*1000</f>
        <v>200</v>
      </c>
      <c r="E174" s="25"/>
      <c r="F174" s="45"/>
      <c r="G174" s="46"/>
      <c r="H174" s="57"/>
      <c r="K174" s="47"/>
      <c r="M174" s="47"/>
    </row>
    <row r="175" spans="1:13" s="21" customFormat="1" x14ac:dyDescent="0.25">
      <c r="A175" s="23"/>
      <c r="B175" s="22"/>
      <c r="C175" s="15" t="s">
        <v>20</v>
      </c>
      <c r="D175" s="48">
        <f>SUM(D169:D174)</f>
        <v>2320</v>
      </c>
      <c r="E175" s="25"/>
      <c r="F175" s="45"/>
      <c r="G175" s="46"/>
      <c r="H175" s="46"/>
      <c r="J175" s="47"/>
      <c r="M175" s="47"/>
    </row>
    <row r="176" spans="1:13" s="21" customFormat="1" x14ac:dyDescent="0.25">
      <c r="A176" s="23"/>
      <c r="B176" s="22"/>
      <c r="C176" s="15"/>
      <c r="D176" s="49"/>
      <c r="E176" s="49"/>
      <c r="F176" s="49"/>
      <c r="G176" s="46"/>
      <c r="H176" s="46"/>
      <c r="J176" s="47"/>
      <c r="M176" s="47"/>
    </row>
    <row r="177" spans="1:15" s="13" customFormat="1" ht="24" customHeight="1" x14ac:dyDescent="0.25">
      <c r="A177" s="81" t="s">
        <v>241</v>
      </c>
      <c r="B177" s="81"/>
      <c r="C177" s="81"/>
      <c r="D177" s="43"/>
      <c r="F177" s="43"/>
      <c r="M177" s="42"/>
    </row>
    <row r="178" spans="1:15" s="21" customFormat="1" ht="24" x14ac:dyDescent="0.25">
      <c r="A178" s="23"/>
      <c r="B178" s="23" t="s">
        <v>11</v>
      </c>
      <c r="C178" s="22" t="s">
        <v>186</v>
      </c>
      <c r="D178" s="45">
        <f>1*1000</f>
        <v>1000</v>
      </c>
      <c r="E178" s="25"/>
      <c r="F178" s="45"/>
      <c r="G178" s="46"/>
      <c r="H178" s="57"/>
      <c r="K178" s="47"/>
      <c r="M178" s="47"/>
    </row>
    <row r="179" spans="1:15" s="21" customFormat="1" x14ac:dyDescent="0.25">
      <c r="A179" s="23"/>
      <c r="B179" s="22"/>
      <c r="C179" s="15" t="s">
        <v>20</v>
      </c>
      <c r="D179" s="48">
        <f>SUM(D178)</f>
        <v>1000</v>
      </c>
      <c r="E179" s="25"/>
      <c r="F179" s="45"/>
      <c r="G179" s="46"/>
      <c r="H179" s="46"/>
      <c r="J179" s="47"/>
      <c r="M179" s="47"/>
    </row>
    <row r="180" spans="1:15" s="21" customFormat="1" x14ac:dyDescent="0.25">
      <c r="A180" s="23"/>
      <c r="B180" s="22"/>
      <c r="C180" s="15"/>
      <c r="D180" s="49"/>
      <c r="E180" s="49"/>
      <c r="F180" s="49"/>
      <c r="G180" s="46"/>
      <c r="H180" s="46"/>
      <c r="J180" s="47"/>
      <c r="M180" s="47"/>
    </row>
    <row r="181" spans="1:15" s="21" customFormat="1" x14ac:dyDescent="0.25">
      <c r="A181" s="37" t="s">
        <v>242</v>
      </c>
      <c r="B181" s="58"/>
      <c r="C181" s="59"/>
      <c r="D181" s="40">
        <f>SUM(D188,D192,D202,D212,D226,D222,D243,D249,D259,D264,D275)</f>
        <v>74155</v>
      </c>
      <c r="E181" s="40"/>
      <c r="F181" s="40">
        <f>SUM(F188,F192,F202,F212,F226,F222,F243,F249,F259,F264,F275)</f>
        <v>7500</v>
      </c>
      <c r="G181" s="46"/>
      <c r="H181" s="46"/>
      <c r="M181" s="47"/>
    </row>
    <row r="182" spans="1:15" s="21" customFormat="1" x14ac:dyDescent="0.25">
      <c r="A182" s="12" t="s">
        <v>53</v>
      </c>
      <c r="B182" s="23"/>
      <c r="C182" s="22"/>
      <c r="D182" s="45"/>
      <c r="E182" s="25"/>
      <c r="F182" s="45"/>
      <c r="G182" s="46"/>
      <c r="H182" s="46"/>
      <c r="M182" s="47"/>
    </row>
    <row r="183" spans="1:15" s="21" customFormat="1" ht="24" x14ac:dyDescent="0.25">
      <c r="A183" s="23"/>
      <c r="B183" s="22" t="s">
        <v>253</v>
      </c>
      <c r="C183" s="22" t="s">
        <v>187</v>
      </c>
      <c r="D183" s="45">
        <f>1*1000</f>
        <v>1000</v>
      </c>
      <c r="E183" s="25"/>
      <c r="F183" s="45"/>
      <c r="G183" s="46"/>
      <c r="H183" s="46"/>
      <c r="M183" s="47"/>
    </row>
    <row r="184" spans="1:15" s="21" customFormat="1" x14ac:dyDescent="0.25">
      <c r="A184" s="23"/>
      <c r="B184" s="22" t="s">
        <v>33</v>
      </c>
      <c r="C184" s="22" t="s">
        <v>101</v>
      </c>
      <c r="D184" s="45">
        <f>1.2*1000</f>
        <v>1200</v>
      </c>
      <c r="E184" s="25"/>
      <c r="F184" s="45"/>
      <c r="G184" s="46"/>
      <c r="H184" s="46"/>
      <c r="M184" s="47"/>
    </row>
    <row r="185" spans="1:15" s="21" customFormat="1" ht="24" x14ac:dyDescent="0.25">
      <c r="A185" s="23"/>
      <c r="B185" s="22" t="s">
        <v>11</v>
      </c>
      <c r="C185" s="22" t="s">
        <v>150</v>
      </c>
      <c r="D185" s="45">
        <f>2*1000</f>
        <v>2000</v>
      </c>
      <c r="E185" s="25"/>
      <c r="F185" s="45"/>
      <c r="G185" s="46"/>
      <c r="H185" s="46"/>
      <c r="M185" s="47"/>
    </row>
    <row r="186" spans="1:15" s="21" customFormat="1" ht="24" x14ac:dyDescent="0.25">
      <c r="A186" s="23"/>
      <c r="B186" s="22" t="s">
        <v>11</v>
      </c>
      <c r="C186" s="14" t="s">
        <v>243</v>
      </c>
      <c r="D186" s="45">
        <f>2.5*1000</f>
        <v>2500</v>
      </c>
      <c r="E186" s="25"/>
      <c r="F186" s="45"/>
      <c r="G186" s="46"/>
      <c r="H186" s="46"/>
      <c r="M186" s="47"/>
    </row>
    <row r="187" spans="1:15" s="21" customFormat="1" ht="24" x14ac:dyDescent="0.25">
      <c r="A187" s="23"/>
      <c r="B187" s="22" t="s">
        <v>11</v>
      </c>
      <c r="C187" s="22" t="s">
        <v>188</v>
      </c>
      <c r="D187" s="45">
        <f>1.5*1000</f>
        <v>1500</v>
      </c>
      <c r="E187" s="25"/>
      <c r="F187" s="49"/>
      <c r="G187" s="46"/>
      <c r="H187" s="46"/>
      <c r="M187" s="47"/>
    </row>
    <row r="188" spans="1:15" s="21" customFormat="1" x14ac:dyDescent="0.25">
      <c r="A188" s="23"/>
      <c r="B188" s="22"/>
      <c r="C188" s="15" t="s">
        <v>20</v>
      </c>
      <c r="D188" s="48">
        <f>SUM(D183:D187)</f>
        <v>8200</v>
      </c>
      <c r="E188" s="25"/>
      <c r="F188" s="49"/>
      <c r="G188" s="46"/>
      <c r="H188" s="46"/>
      <c r="M188" s="47"/>
    </row>
    <row r="189" spans="1:15" s="21" customFormat="1" ht="0.75" customHeight="1" x14ac:dyDescent="0.25">
      <c r="A189" s="23"/>
      <c r="B189" s="22"/>
      <c r="C189" s="15"/>
      <c r="D189" s="49"/>
      <c r="E189" s="49"/>
      <c r="F189" s="49"/>
      <c r="G189" s="46"/>
      <c r="H189" s="46"/>
      <c r="J189" s="47"/>
      <c r="M189" s="47"/>
    </row>
    <row r="190" spans="1:15" s="21" customFormat="1" x14ac:dyDescent="0.25">
      <c r="A190" s="12" t="s">
        <v>102</v>
      </c>
      <c r="B190" s="23"/>
      <c r="C190" s="22"/>
      <c r="D190" s="45"/>
      <c r="E190" s="25"/>
      <c r="F190" s="45"/>
      <c r="G190" s="46"/>
      <c r="H190" s="46"/>
      <c r="M190" s="47"/>
      <c r="O190" s="47"/>
    </row>
    <row r="191" spans="1:15" s="21" customFormat="1" ht="48" x14ac:dyDescent="0.25">
      <c r="A191" s="23"/>
      <c r="B191" s="22" t="s">
        <v>11</v>
      </c>
      <c r="C191" s="22" t="s">
        <v>189</v>
      </c>
      <c r="D191" s="45">
        <f>19.8*1000</f>
        <v>19800</v>
      </c>
      <c r="E191" s="25"/>
      <c r="F191" s="45"/>
      <c r="G191" s="46"/>
      <c r="H191" s="46"/>
      <c r="M191" s="47"/>
    </row>
    <row r="192" spans="1:15" s="21" customFormat="1" x14ac:dyDescent="0.25">
      <c r="A192" s="23"/>
      <c r="B192" s="22"/>
      <c r="C192" s="15" t="s">
        <v>20</v>
      </c>
      <c r="D192" s="48">
        <f>SUM(D191)</f>
        <v>19800</v>
      </c>
      <c r="E192" s="25"/>
      <c r="F192" s="45"/>
      <c r="G192" s="46"/>
      <c r="H192" s="46"/>
      <c r="M192" s="47"/>
    </row>
    <row r="193" spans="1:15" s="21" customFormat="1" x14ac:dyDescent="0.25">
      <c r="A193" s="23"/>
      <c r="B193" s="22"/>
      <c r="C193" s="15"/>
      <c r="D193" s="49"/>
      <c r="E193" s="49"/>
      <c r="F193" s="49"/>
      <c r="G193" s="46"/>
      <c r="H193" s="46"/>
      <c r="J193" s="47"/>
      <c r="M193" s="47"/>
    </row>
    <row r="194" spans="1:15" s="21" customFormat="1" x14ac:dyDescent="0.25">
      <c r="A194" s="12" t="s">
        <v>38</v>
      </c>
      <c r="B194" s="23"/>
      <c r="C194" s="22"/>
      <c r="D194" s="45"/>
      <c r="E194" s="25"/>
      <c r="F194" s="45"/>
      <c r="G194" s="46"/>
      <c r="H194" s="46"/>
      <c r="M194" s="47"/>
      <c r="O194" s="47"/>
    </row>
    <row r="195" spans="1:15" s="21" customFormat="1" x14ac:dyDescent="0.25">
      <c r="A195" s="12"/>
      <c r="B195" s="23" t="s">
        <v>25</v>
      </c>
      <c r="C195" s="22" t="s">
        <v>103</v>
      </c>
      <c r="D195" s="45">
        <f>0.5*1000</f>
        <v>500</v>
      </c>
      <c r="E195" s="25"/>
      <c r="F195" s="45"/>
      <c r="G195" s="46"/>
      <c r="H195" s="46"/>
      <c r="M195" s="47"/>
      <c r="O195" s="47"/>
    </row>
    <row r="196" spans="1:15" s="21" customFormat="1" x14ac:dyDescent="0.25">
      <c r="A196" s="12"/>
      <c r="B196" s="22" t="s">
        <v>65</v>
      </c>
      <c r="C196" s="22" t="s">
        <v>104</v>
      </c>
      <c r="D196" s="45">
        <f>0.75*1000</f>
        <v>750</v>
      </c>
      <c r="E196" s="25"/>
      <c r="F196" s="45"/>
      <c r="G196" s="46"/>
      <c r="H196" s="46"/>
      <c r="M196" s="47"/>
      <c r="O196" s="47"/>
    </row>
    <row r="197" spans="1:15" s="21" customFormat="1" x14ac:dyDescent="0.25">
      <c r="A197" s="12"/>
      <c r="B197" s="22" t="s">
        <v>7</v>
      </c>
      <c r="C197" s="22" t="s">
        <v>105</v>
      </c>
      <c r="D197" s="45">
        <f>1*1000</f>
        <v>1000</v>
      </c>
      <c r="E197" s="25"/>
      <c r="F197" s="45"/>
      <c r="G197" s="46"/>
      <c r="H197" s="46"/>
      <c r="M197" s="47"/>
      <c r="O197" s="47"/>
    </row>
    <row r="198" spans="1:15" s="21" customFormat="1" x14ac:dyDescent="0.25">
      <c r="A198" s="12"/>
      <c r="B198" s="22" t="s">
        <v>43</v>
      </c>
      <c r="C198" s="22" t="s">
        <v>106</v>
      </c>
      <c r="D198" s="45"/>
      <c r="E198" s="25"/>
      <c r="F198" s="45">
        <f>1.5*1000</f>
        <v>1500</v>
      </c>
      <c r="G198" s="46"/>
      <c r="H198" s="46"/>
      <c r="M198" s="47"/>
      <c r="O198" s="47"/>
    </row>
    <row r="199" spans="1:15" s="21" customFormat="1" x14ac:dyDescent="0.25">
      <c r="A199" s="23"/>
      <c r="B199" s="22" t="s">
        <v>11</v>
      </c>
      <c r="C199" s="22" t="s">
        <v>107</v>
      </c>
      <c r="D199" s="45">
        <f>2*1000</f>
        <v>2000</v>
      </c>
      <c r="E199" s="25"/>
      <c r="F199" s="45"/>
      <c r="G199" s="46"/>
      <c r="H199" s="46"/>
      <c r="M199" s="47"/>
    </row>
    <row r="200" spans="1:15" s="21" customFormat="1" ht="24" x14ac:dyDescent="0.25">
      <c r="A200" s="23"/>
      <c r="B200" s="22" t="s">
        <v>11</v>
      </c>
      <c r="C200" s="22" t="s">
        <v>152</v>
      </c>
      <c r="D200" s="45">
        <f>1*1000</f>
        <v>1000</v>
      </c>
      <c r="E200" s="25"/>
      <c r="F200" s="45"/>
      <c r="G200" s="46"/>
      <c r="H200" s="46"/>
      <c r="M200" s="47"/>
    </row>
    <row r="201" spans="1:15" s="21" customFormat="1" ht="24" x14ac:dyDescent="0.25">
      <c r="A201" s="23"/>
      <c r="B201" s="22" t="s">
        <v>11</v>
      </c>
      <c r="C201" s="22" t="s">
        <v>190</v>
      </c>
      <c r="D201" s="45">
        <f>1*1000</f>
        <v>1000</v>
      </c>
      <c r="E201" s="25"/>
      <c r="F201" s="45"/>
      <c r="G201" s="46"/>
      <c r="H201" s="46"/>
      <c r="M201" s="47"/>
    </row>
    <row r="202" spans="1:15" s="21" customFormat="1" x14ac:dyDescent="0.25">
      <c r="A202" s="23"/>
      <c r="B202" s="22"/>
      <c r="C202" s="15" t="s">
        <v>20</v>
      </c>
      <c r="D202" s="48">
        <f>SUM(D195:D201)</f>
        <v>6250</v>
      </c>
      <c r="E202" s="25"/>
      <c r="F202" s="48">
        <f>SUM(F195:F201)</f>
        <v>1500</v>
      </c>
      <c r="G202" s="46"/>
      <c r="H202" s="46"/>
      <c r="M202" s="47"/>
    </row>
    <row r="203" spans="1:15" s="21" customFormat="1" x14ac:dyDescent="0.25">
      <c r="A203" s="12"/>
      <c r="B203" s="22"/>
      <c r="C203" s="15"/>
      <c r="D203" s="45"/>
      <c r="E203" s="25"/>
      <c r="F203" s="45"/>
      <c r="G203" s="46"/>
      <c r="H203" s="46"/>
      <c r="M203" s="47"/>
    </row>
    <row r="204" spans="1:15" s="21" customFormat="1" x14ac:dyDescent="0.25">
      <c r="A204" s="12" t="s">
        <v>108</v>
      </c>
      <c r="B204" s="23"/>
      <c r="C204" s="22"/>
      <c r="D204" s="45"/>
      <c r="E204" s="25"/>
      <c r="F204" s="45"/>
      <c r="G204" s="46"/>
      <c r="H204" s="46"/>
      <c r="M204" s="47"/>
      <c r="O204" s="47"/>
    </row>
    <row r="205" spans="1:15" s="21" customFormat="1" ht="24" x14ac:dyDescent="0.25">
      <c r="A205" s="23"/>
      <c r="B205" s="22" t="s">
        <v>3</v>
      </c>
      <c r="C205" s="22" t="s">
        <v>191</v>
      </c>
      <c r="D205" s="45">
        <f>1*1000</f>
        <v>1000</v>
      </c>
      <c r="E205" s="25"/>
      <c r="F205" s="45"/>
      <c r="G205" s="46"/>
      <c r="H205" s="46"/>
      <c r="M205" s="47"/>
    </row>
    <row r="206" spans="1:15" s="21" customFormat="1" x14ac:dyDescent="0.25">
      <c r="A206" s="23"/>
      <c r="B206" s="22" t="s">
        <v>65</v>
      </c>
      <c r="C206" s="22" t="s">
        <v>109</v>
      </c>
      <c r="D206" s="45">
        <f>0.5*1000</f>
        <v>500</v>
      </c>
      <c r="E206" s="25"/>
      <c r="F206" s="45"/>
      <c r="G206" s="46"/>
      <c r="H206" s="46"/>
      <c r="M206" s="47"/>
    </row>
    <row r="207" spans="1:15" s="21" customFormat="1" x14ac:dyDescent="0.25">
      <c r="A207" s="23"/>
      <c r="B207" s="22" t="s">
        <v>5</v>
      </c>
      <c r="C207" s="22" t="s">
        <v>110</v>
      </c>
      <c r="D207" s="45"/>
      <c r="E207" s="25"/>
      <c r="F207" s="45">
        <f>2*1000</f>
        <v>2000</v>
      </c>
      <c r="G207" s="46"/>
      <c r="H207" s="46"/>
      <c r="M207" s="47"/>
    </row>
    <row r="208" spans="1:15" s="21" customFormat="1" x14ac:dyDescent="0.25">
      <c r="A208" s="23"/>
      <c r="B208" s="22" t="s">
        <v>5</v>
      </c>
      <c r="C208" s="22" t="s">
        <v>89</v>
      </c>
      <c r="D208" s="45">
        <f>0.4*1000</f>
        <v>400</v>
      </c>
      <c r="E208" s="25"/>
      <c r="F208" s="45"/>
      <c r="G208" s="46"/>
      <c r="H208" s="46"/>
      <c r="M208" s="47"/>
    </row>
    <row r="209" spans="1:15" s="21" customFormat="1" ht="24" x14ac:dyDescent="0.25">
      <c r="A209" s="23"/>
      <c r="B209" s="22" t="s">
        <v>5</v>
      </c>
      <c r="C209" s="22" t="s">
        <v>192</v>
      </c>
      <c r="D209" s="45">
        <f>0.5*1000</f>
        <v>500</v>
      </c>
      <c r="E209" s="25"/>
      <c r="F209" s="45"/>
      <c r="G209" s="46"/>
      <c r="H209" s="46"/>
      <c r="M209" s="47"/>
    </row>
    <row r="210" spans="1:15" s="21" customFormat="1" x14ac:dyDescent="0.25">
      <c r="A210" s="23"/>
      <c r="B210" s="22" t="s">
        <v>69</v>
      </c>
      <c r="C210" s="22" t="s">
        <v>70</v>
      </c>
      <c r="D210" s="45"/>
      <c r="E210" s="25"/>
      <c r="F210" s="45">
        <f>2.5*1000</f>
        <v>2500</v>
      </c>
      <c r="G210" s="46"/>
      <c r="H210" s="46"/>
      <c r="M210" s="47"/>
    </row>
    <row r="211" spans="1:15" s="21" customFormat="1" ht="24" x14ac:dyDescent="0.25">
      <c r="A211" s="23"/>
      <c r="B211" s="22" t="s">
        <v>11</v>
      </c>
      <c r="C211" s="22" t="s">
        <v>193</v>
      </c>
      <c r="D211" s="45">
        <f>0.75*1000</f>
        <v>750</v>
      </c>
      <c r="E211" s="25"/>
      <c r="F211" s="45"/>
      <c r="G211" s="46"/>
      <c r="H211" s="46"/>
      <c r="M211" s="47"/>
    </row>
    <row r="212" spans="1:15" s="21" customFormat="1" x14ac:dyDescent="0.25">
      <c r="A212" s="23"/>
      <c r="C212" s="15" t="s">
        <v>20</v>
      </c>
      <c r="D212" s="48">
        <f>SUM(D205:D211)</f>
        <v>3150</v>
      </c>
      <c r="E212" s="25"/>
      <c r="F212" s="48">
        <f>SUM(F205:F211)</f>
        <v>4500</v>
      </c>
      <c r="G212" s="46"/>
      <c r="H212" s="46"/>
      <c r="M212" s="47"/>
    </row>
    <row r="213" spans="1:15" s="21" customFormat="1" x14ac:dyDescent="0.25">
      <c r="A213" s="23"/>
      <c r="B213" s="22"/>
      <c r="C213" s="15"/>
      <c r="D213" s="45"/>
      <c r="E213" s="25"/>
      <c r="F213" s="45"/>
      <c r="G213" s="46"/>
      <c r="H213" s="46"/>
      <c r="M213" s="47"/>
    </row>
    <row r="214" spans="1:15" s="21" customFormat="1" x14ac:dyDescent="0.25">
      <c r="A214" s="55" t="s">
        <v>111</v>
      </c>
      <c r="B214" s="22"/>
      <c r="C214" s="15"/>
      <c r="D214" s="45"/>
      <c r="E214" s="25"/>
      <c r="F214" s="45"/>
      <c r="G214" s="46"/>
      <c r="H214" s="46"/>
      <c r="M214" s="47"/>
    </row>
    <row r="215" spans="1:15" s="21" customFormat="1" ht="24" x14ac:dyDescent="0.25">
      <c r="A215" s="23"/>
      <c r="B215" s="22" t="s">
        <v>26</v>
      </c>
      <c r="C215" s="34" t="s">
        <v>194</v>
      </c>
      <c r="D215" s="45">
        <f>0.225*1000</f>
        <v>225</v>
      </c>
      <c r="E215" s="25"/>
      <c r="F215" s="45"/>
      <c r="G215" s="46"/>
      <c r="H215" s="46"/>
      <c r="M215" s="47"/>
    </row>
    <row r="216" spans="1:15" s="21" customFormat="1" ht="24" x14ac:dyDescent="0.25">
      <c r="A216" s="23"/>
      <c r="B216" s="22" t="s">
        <v>6</v>
      </c>
      <c r="C216" s="34" t="s">
        <v>195</v>
      </c>
      <c r="D216" s="45">
        <f>0.15*1000</f>
        <v>150</v>
      </c>
      <c r="E216" s="25"/>
      <c r="F216" s="45"/>
      <c r="G216" s="46"/>
      <c r="H216" s="46"/>
      <c r="M216" s="47"/>
    </row>
    <row r="217" spans="1:15" s="21" customFormat="1" ht="24" customHeight="1" x14ac:dyDescent="0.25">
      <c r="A217" s="23"/>
      <c r="B217" s="22" t="s">
        <v>100</v>
      </c>
      <c r="C217" s="34" t="s">
        <v>196</v>
      </c>
      <c r="D217" s="45">
        <f>0.3*1000</f>
        <v>300</v>
      </c>
      <c r="E217" s="25"/>
      <c r="F217" s="45"/>
      <c r="G217" s="46"/>
      <c r="H217" s="46"/>
      <c r="M217" s="47"/>
    </row>
    <row r="218" spans="1:15" s="21" customFormat="1" ht="36" x14ac:dyDescent="0.25">
      <c r="A218" s="23"/>
      <c r="B218" s="22" t="s">
        <v>5</v>
      </c>
      <c r="C218" s="34" t="s">
        <v>197</v>
      </c>
      <c r="D218" s="45">
        <f>0.2*1000</f>
        <v>200</v>
      </c>
      <c r="E218" s="25"/>
      <c r="F218" s="45"/>
      <c r="G218" s="46"/>
      <c r="H218" s="46"/>
      <c r="M218" s="47"/>
    </row>
    <row r="219" spans="1:15" s="21" customFormat="1" ht="24" x14ac:dyDescent="0.25">
      <c r="A219" s="23"/>
      <c r="B219" s="22" t="s">
        <v>9</v>
      </c>
      <c r="C219" s="34" t="s">
        <v>198</v>
      </c>
      <c r="D219" s="45">
        <f>0.18*1000</f>
        <v>180</v>
      </c>
      <c r="E219" s="25"/>
      <c r="F219" s="45"/>
      <c r="G219" s="46"/>
      <c r="H219" s="46"/>
      <c r="M219" s="47"/>
    </row>
    <row r="220" spans="1:15" s="21" customFormat="1" ht="24" x14ac:dyDescent="0.25">
      <c r="A220" s="23"/>
      <c r="B220" s="22" t="s">
        <v>11</v>
      </c>
      <c r="C220" s="34" t="s">
        <v>148</v>
      </c>
      <c r="D220" s="45">
        <f>0.225*1000</f>
        <v>225</v>
      </c>
      <c r="E220" s="25"/>
      <c r="F220" s="45"/>
      <c r="G220" s="46"/>
      <c r="H220" s="46"/>
      <c r="M220" s="47"/>
    </row>
    <row r="221" spans="1:15" s="21" customFormat="1" x14ac:dyDescent="0.25">
      <c r="A221" s="23"/>
      <c r="B221" s="22" t="s">
        <v>11</v>
      </c>
      <c r="C221" s="34" t="s">
        <v>112</v>
      </c>
      <c r="D221" s="45">
        <f>0.22*1000</f>
        <v>220</v>
      </c>
      <c r="E221" s="25"/>
      <c r="F221" s="49"/>
      <c r="G221" s="46"/>
      <c r="H221" s="46"/>
      <c r="M221" s="47"/>
    </row>
    <row r="222" spans="1:15" s="21" customFormat="1" x14ac:dyDescent="0.25">
      <c r="A222" s="23"/>
      <c r="C222" s="15" t="s">
        <v>20</v>
      </c>
      <c r="D222" s="48">
        <f>SUM(D215:D221)</f>
        <v>1500</v>
      </c>
      <c r="E222" s="25"/>
      <c r="F222" s="49"/>
      <c r="G222" s="46"/>
      <c r="H222" s="46"/>
      <c r="M222" s="47"/>
    </row>
    <row r="223" spans="1:15" s="21" customFormat="1" x14ac:dyDescent="0.25">
      <c r="A223" s="23"/>
      <c r="C223" s="15"/>
      <c r="D223" s="49"/>
      <c r="E223" s="25"/>
      <c r="F223" s="49"/>
      <c r="G223" s="46"/>
      <c r="H223" s="46"/>
      <c r="M223" s="47"/>
    </row>
    <row r="224" spans="1:15" s="21" customFormat="1" ht="24" customHeight="1" x14ac:dyDescent="0.25">
      <c r="A224" s="81" t="s">
        <v>244</v>
      </c>
      <c r="B224" s="82"/>
      <c r="C224" s="82"/>
      <c r="D224" s="45"/>
      <c r="E224" s="25"/>
      <c r="F224" s="45"/>
      <c r="G224" s="46"/>
      <c r="H224" s="46"/>
      <c r="M224" s="47"/>
      <c r="O224" s="47"/>
    </row>
    <row r="225" spans="1:15" s="21" customFormat="1" ht="24" x14ac:dyDescent="0.25">
      <c r="A225" s="23"/>
      <c r="B225" s="22" t="s">
        <v>11</v>
      </c>
      <c r="C225" s="22" t="s">
        <v>175</v>
      </c>
      <c r="D225" s="45">
        <f>1.5*1000</f>
        <v>1500</v>
      </c>
      <c r="E225" s="25"/>
      <c r="F225" s="46"/>
      <c r="G225" s="46"/>
      <c r="H225" s="46"/>
      <c r="M225" s="47"/>
    </row>
    <row r="226" spans="1:15" s="21" customFormat="1" x14ac:dyDescent="0.25">
      <c r="A226" s="23"/>
      <c r="B226" s="22"/>
      <c r="C226" s="15" t="s">
        <v>20</v>
      </c>
      <c r="D226" s="48">
        <f>SUM(D225:D225)</f>
        <v>1500</v>
      </c>
      <c r="E226" s="25"/>
      <c r="F226" s="46"/>
      <c r="G226" s="46"/>
      <c r="H226" s="46"/>
      <c r="M226" s="47"/>
    </row>
    <row r="227" spans="1:15" s="21" customFormat="1" x14ac:dyDescent="0.25">
      <c r="A227" s="23"/>
      <c r="C227" s="15"/>
      <c r="D227" s="49"/>
      <c r="E227" s="25"/>
      <c r="F227" s="49"/>
      <c r="G227" s="46"/>
      <c r="H227" s="46"/>
      <c r="M227" s="47"/>
    </row>
    <row r="228" spans="1:15" s="21" customFormat="1" x14ac:dyDescent="0.25">
      <c r="A228" s="12" t="s">
        <v>54</v>
      </c>
      <c r="B228" s="16"/>
      <c r="C228" s="22"/>
      <c r="D228" s="45"/>
      <c r="E228" s="25"/>
      <c r="F228" s="45"/>
      <c r="G228" s="46"/>
      <c r="H228" s="46"/>
      <c r="M228" s="47"/>
      <c r="O228" s="47"/>
    </row>
    <row r="229" spans="1:15" s="21" customFormat="1" ht="12" customHeight="1" x14ac:dyDescent="0.25">
      <c r="A229" s="12"/>
      <c r="B229" s="69" t="s">
        <v>26</v>
      </c>
      <c r="C229" s="22" t="s">
        <v>113</v>
      </c>
      <c r="D229" s="45">
        <f>1.2*1000</f>
        <v>1200</v>
      </c>
      <c r="E229" s="25"/>
      <c r="F229" s="45"/>
      <c r="G229" s="46"/>
      <c r="H229" s="46"/>
      <c r="M229" s="47"/>
      <c r="O229" s="47"/>
    </row>
    <row r="230" spans="1:15" s="21" customFormat="1" ht="24" customHeight="1" x14ac:dyDescent="0.25">
      <c r="A230" s="23"/>
      <c r="B230" s="22" t="s">
        <v>67</v>
      </c>
      <c r="C230" s="22" t="s">
        <v>199</v>
      </c>
      <c r="D230" s="45">
        <f>0.5*1000</f>
        <v>500</v>
      </c>
      <c r="E230" s="25"/>
      <c r="F230" s="45"/>
      <c r="G230" s="46"/>
      <c r="H230" s="46"/>
      <c r="M230" s="47"/>
    </row>
    <row r="231" spans="1:15" s="21" customFormat="1" ht="24" x14ac:dyDescent="0.25">
      <c r="A231" s="23"/>
      <c r="B231" s="22" t="s">
        <v>4</v>
      </c>
      <c r="C231" s="22" t="s">
        <v>200</v>
      </c>
      <c r="D231" s="45">
        <f>1*1000</f>
        <v>1000</v>
      </c>
      <c r="E231" s="25"/>
      <c r="F231" s="45"/>
      <c r="G231" s="46"/>
      <c r="H231" s="46"/>
      <c r="M231" s="47"/>
    </row>
    <row r="232" spans="1:15" s="21" customFormat="1" x14ac:dyDescent="0.25">
      <c r="A232" s="23"/>
      <c r="B232" s="22" t="s">
        <v>65</v>
      </c>
      <c r="C232" s="22" t="s">
        <v>114</v>
      </c>
      <c r="D232" s="45"/>
      <c r="E232" s="25"/>
      <c r="F232" s="45">
        <f>0.5*1000</f>
        <v>500</v>
      </c>
      <c r="G232" s="46"/>
      <c r="H232" s="46"/>
      <c r="M232" s="47"/>
    </row>
    <row r="233" spans="1:15" s="21" customFormat="1" ht="24" x14ac:dyDescent="0.25">
      <c r="A233" s="23"/>
      <c r="B233" s="22" t="s">
        <v>11</v>
      </c>
      <c r="C233" s="22" t="s">
        <v>152</v>
      </c>
      <c r="D233" s="45">
        <f>1.2*1000</f>
        <v>1200</v>
      </c>
      <c r="E233" s="25"/>
      <c r="F233" s="45"/>
      <c r="G233" s="46"/>
      <c r="H233" s="46"/>
      <c r="M233" s="47"/>
    </row>
    <row r="234" spans="1:15" s="21" customFormat="1" x14ac:dyDescent="0.25">
      <c r="A234" s="23"/>
      <c r="B234" s="22" t="s">
        <v>11</v>
      </c>
      <c r="C234" s="22" t="s">
        <v>245</v>
      </c>
      <c r="D234" s="45">
        <f>1*1000</f>
        <v>1000</v>
      </c>
      <c r="E234" s="25"/>
      <c r="F234" s="45"/>
      <c r="G234" s="46"/>
      <c r="H234" s="46"/>
      <c r="M234" s="47"/>
    </row>
    <row r="235" spans="1:15" s="21" customFormat="1" ht="36" x14ac:dyDescent="0.25">
      <c r="A235" s="23"/>
      <c r="B235" s="22" t="s">
        <v>11</v>
      </c>
      <c r="C235" s="22" t="s">
        <v>201</v>
      </c>
      <c r="D235" s="45">
        <f>0.53*1000</f>
        <v>530</v>
      </c>
      <c r="E235" s="25"/>
      <c r="F235" s="45"/>
      <c r="G235" s="46"/>
      <c r="H235" s="46"/>
      <c r="M235" s="47"/>
    </row>
    <row r="236" spans="1:15" s="21" customFormat="1" x14ac:dyDescent="0.25">
      <c r="A236" s="23"/>
      <c r="B236" s="22" t="s">
        <v>11</v>
      </c>
      <c r="C236" s="22" t="s">
        <v>97</v>
      </c>
      <c r="D236" s="45">
        <f>0.5*1000</f>
        <v>500</v>
      </c>
      <c r="E236" s="25"/>
      <c r="F236" s="45"/>
      <c r="G236" s="46"/>
      <c r="H236" s="46"/>
      <c r="M236" s="47"/>
    </row>
    <row r="237" spans="1:15" s="21" customFormat="1" ht="24" customHeight="1" x14ac:dyDescent="0.25">
      <c r="A237" s="23"/>
      <c r="B237" s="22" t="s">
        <v>11</v>
      </c>
      <c r="C237" s="22" t="s">
        <v>177</v>
      </c>
      <c r="D237" s="45">
        <f>0.65*1000</f>
        <v>650</v>
      </c>
      <c r="E237" s="25"/>
      <c r="F237" s="45"/>
      <c r="G237" s="46"/>
      <c r="H237" s="46"/>
      <c r="M237" s="47"/>
    </row>
    <row r="238" spans="1:15" s="21" customFormat="1" ht="24" x14ac:dyDescent="0.25">
      <c r="A238" s="23"/>
      <c r="B238" s="22" t="s">
        <v>11</v>
      </c>
      <c r="C238" s="22" t="s">
        <v>171</v>
      </c>
      <c r="D238" s="45">
        <f>0.4*1000</f>
        <v>400</v>
      </c>
      <c r="E238" s="25"/>
      <c r="F238" s="45"/>
      <c r="G238" s="46"/>
      <c r="H238" s="46"/>
      <c r="M238" s="47"/>
    </row>
    <row r="239" spans="1:15" s="21" customFormat="1" ht="24" x14ac:dyDescent="0.25">
      <c r="A239" s="23"/>
      <c r="B239" s="22" t="s">
        <v>11</v>
      </c>
      <c r="C239" s="22" t="s">
        <v>179</v>
      </c>
      <c r="D239" s="45">
        <f>0.7*1000</f>
        <v>700</v>
      </c>
      <c r="E239" s="25"/>
      <c r="F239" s="45"/>
      <c r="G239" s="46"/>
      <c r="H239" s="46"/>
      <c r="M239" s="47"/>
    </row>
    <row r="240" spans="1:15" s="21" customFormat="1" ht="24" x14ac:dyDescent="0.25">
      <c r="A240" s="23"/>
      <c r="B240" s="22" t="s">
        <v>11</v>
      </c>
      <c r="C240" s="22" t="s">
        <v>246</v>
      </c>
      <c r="D240" s="45">
        <f>2*1000</f>
        <v>2000</v>
      </c>
      <c r="E240" s="25"/>
      <c r="F240" s="45"/>
      <c r="G240" s="46"/>
      <c r="H240" s="46"/>
      <c r="M240" s="47"/>
    </row>
    <row r="241" spans="1:13" s="21" customFormat="1" ht="14.45" customHeight="1" x14ac:dyDescent="0.25">
      <c r="A241" s="23"/>
      <c r="B241" s="22" t="s">
        <v>11</v>
      </c>
      <c r="C241" s="22" t="s">
        <v>115</v>
      </c>
      <c r="D241" s="45">
        <f>0.25*1000</f>
        <v>250</v>
      </c>
      <c r="E241" s="25"/>
      <c r="F241" s="45"/>
      <c r="G241" s="46"/>
      <c r="H241" s="46"/>
      <c r="M241" s="47"/>
    </row>
    <row r="242" spans="1:13" s="21" customFormat="1" ht="24" x14ac:dyDescent="0.25">
      <c r="A242" s="23"/>
      <c r="B242" s="22" t="s">
        <v>11</v>
      </c>
      <c r="C242" s="22" t="s">
        <v>180</v>
      </c>
      <c r="D242" s="45">
        <f>0.5*1000</f>
        <v>500</v>
      </c>
      <c r="E242" s="25"/>
      <c r="F242" s="45"/>
      <c r="G242" s="46"/>
      <c r="H242" s="46"/>
      <c r="M242" s="47"/>
    </row>
    <row r="243" spans="1:13" s="21" customFormat="1" x14ac:dyDescent="0.25">
      <c r="A243" s="23"/>
      <c r="B243" s="22"/>
      <c r="C243" s="15" t="s">
        <v>20</v>
      </c>
      <c r="D243" s="48">
        <f>SUM(D229:D242)</f>
        <v>10430</v>
      </c>
      <c r="E243" s="25"/>
      <c r="F243" s="48">
        <f>SUM(F230:F242)</f>
        <v>500</v>
      </c>
      <c r="G243" s="46"/>
      <c r="H243" s="46"/>
      <c r="M243" s="47"/>
    </row>
    <row r="244" spans="1:13" s="21" customFormat="1" x14ac:dyDescent="0.25">
      <c r="A244" s="23"/>
      <c r="B244" s="22"/>
      <c r="C244" s="15"/>
      <c r="D244" s="49"/>
      <c r="E244" s="25"/>
      <c r="F244" s="49"/>
      <c r="G244" s="46"/>
      <c r="H244" s="46"/>
      <c r="M244" s="47"/>
    </row>
    <row r="245" spans="1:13" s="21" customFormat="1" x14ac:dyDescent="0.25">
      <c r="A245" s="12" t="s">
        <v>116</v>
      </c>
      <c r="B245" s="22"/>
      <c r="C245" s="15"/>
      <c r="D245" s="45"/>
      <c r="E245" s="25"/>
      <c r="F245" s="45"/>
      <c r="G245" s="46"/>
      <c r="H245" s="46"/>
      <c r="M245" s="47"/>
    </row>
    <row r="246" spans="1:13" s="21" customFormat="1" ht="24" x14ac:dyDescent="0.25">
      <c r="A246" s="23"/>
      <c r="B246" s="22" t="s">
        <v>49</v>
      </c>
      <c r="C246" s="22" t="s">
        <v>202</v>
      </c>
      <c r="D246" s="45">
        <f>1*1000</f>
        <v>1000</v>
      </c>
      <c r="E246" s="25"/>
      <c r="F246" s="45"/>
      <c r="G246" s="46"/>
      <c r="H246" s="46"/>
      <c r="M246" s="47"/>
    </row>
    <row r="247" spans="1:13" s="21" customFormat="1" x14ac:dyDescent="0.25">
      <c r="A247" s="23"/>
      <c r="B247" s="22" t="s">
        <v>49</v>
      </c>
      <c r="C247" s="22" t="s">
        <v>88</v>
      </c>
      <c r="D247" s="45"/>
      <c r="E247" s="25"/>
      <c r="F247" s="45">
        <f>1*1000</f>
        <v>1000</v>
      </c>
      <c r="G247" s="46"/>
      <c r="H247" s="46"/>
      <c r="M247" s="47"/>
    </row>
    <row r="248" spans="1:13" s="21" customFormat="1" ht="24" x14ac:dyDescent="0.25">
      <c r="A248" s="23"/>
      <c r="B248" s="22" t="s">
        <v>11</v>
      </c>
      <c r="C248" s="22" t="s">
        <v>240</v>
      </c>
      <c r="D248" s="45">
        <f>0.5*1000</f>
        <v>500</v>
      </c>
      <c r="E248" s="25"/>
      <c r="F248" s="45"/>
      <c r="G248" s="46"/>
      <c r="H248" s="46"/>
      <c r="M248" s="47"/>
    </row>
    <row r="249" spans="1:13" s="21" customFormat="1" x14ac:dyDescent="0.25">
      <c r="A249" s="23"/>
      <c r="B249" s="22"/>
      <c r="C249" s="15" t="s">
        <v>20</v>
      </c>
      <c r="D249" s="48">
        <f>SUM(D246:D248)</f>
        <v>1500</v>
      </c>
      <c r="E249" s="25"/>
      <c r="F249" s="48">
        <f>SUM(F246:F248)</f>
        <v>1000</v>
      </c>
      <c r="G249" s="46"/>
      <c r="H249" s="46"/>
      <c r="M249" s="47"/>
    </row>
    <row r="250" spans="1:13" s="21" customFormat="1" x14ac:dyDescent="0.25">
      <c r="A250" s="23"/>
      <c r="B250" s="22"/>
      <c r="C250" s="15"/>
      <c r="D250" s="49"/>
      <c r="E250" s="25"/>
      <c r="F250" s="45"/>
      <c r="G250" s="46"/>
      <c r="H250" s="46"/>
      <c r="M250" s="47"/>
    </row>
    <row r="251" spans="1:13" s="21" customFormat="1" x14ac:dyDescent="0.25">
      <c r="A251" s="12" t="s">
        <v>55</v>
      </c>
      <c r="B251" s="22"/>
      <c r="C251" s="15"/>
      <c r="D251" s="45"/>
      <c r="E251" s="25"/>
      <c r="F251" s="45"/>
      <c r="G251" s="46"/>
      <c r="H251" s="46"/>
      <c r="M251" s="47"/>
    </row>
    <row r="252" spans="1:13" s="21" customFormat="1" ht="24" x14ac:dyDescent="0.25">
      <c r="A252" s="12"/>
      <c r="B252" s="22" t="s">
        <v>4</v>
      </c>
      <c r="C252" s="22" t="s">
        <v>183</v>
      </c>
      <c r="D252" s="45">
        <f>2*1000</f>
        <v>2000</v>
      </c>
      <c r="E252" s="25"/>
      <c r="F252" s="45"/>
      <c r="G252" s="46"/>
      <c r="H252" s="46"/>
      <c r="M252" s="47"/>
    </row>
    <row r="253" spans="1:13" s="21" customFormat="1" x14ac:dyDescent="0.25">
      <c r="A253" s="12"/>
      <c r="B253" s="22" t="s">
        <v>11</v>
      </c>
      <c r="C253" s="22" t="s">
        <v>117</v>
      </c>
      <c r="D253" s="45">
        <f>2*1000</f>
        <v>2000</v>
      </c>
      <c r="E253" s="25"/>
      <c r="F253" s="45"/>
      <c r="G253" s="46"/>
      <c r="H253" s="46"/>
      <c r="M253" s="47"/>
    </row>
    <row r="254" spans="1:13" s="21" customFormat="1" ht="24" x14ac:dyDescent="0.25">
      <c r="A254" s="12"/>
      <c r="B254" s="22" t="s">
        <v>11</v>
      </c>
      <c r="C254" s="22" t="s">
        <v>203</v>
      </c>
      <c r="D254" s="45">
        <f>3*1000</f>
        <v>3000</v>
      </c>
      <c r="E254" s="25"/>
      <c r="F254" s="45"/>
      <c r="G254" s="46"/>
      <c r="H254" s="46"/>
      <c r="M254" s="47"/>
    </row>
    <row r="255" spans="1:13" s="21" customFormat="1" x14ac:dyDescent="0.25">
      <c r="A255" s="12"/>
      <c r="B255" s="22" t="s">
        <v>11</v>
      </c>
      <c r="C255" s="22" t="s">
        <v>52</v>
      </c>
      <c r="D255" s="45">
        <f>2*1000</f>
        <v>2000</v>
      </c>
      <c r="E255" s="25"/>
      <c r="F255" s="45"/>
      <c r="G255" s="46"/>
      <c r="H255" s="46"/>
      <c r="M255" s="47"/>
    </row>
    <row r="256" spans="1:13" s="21" customFormat="1" x14ac:dyDescent="0.25">
      <c r="A256" s="23"/>
      <c r="B256" s="22" t="s">
        <v>11</v>
      </c>
      <c r="C256" s="22" t="s">
        <v>118</v>
      </c>
      <c r="D256" s="45">
        <f>3*1000</f>
        <v>3000</v>
      </c>
      <c r="E256" s="25"/>
      <c r="F256" s="49"/>
      <c r="G256" s="46"/>
      <c r="H256" s="46"/>
      <c r="M256" s="47"/>
    </row>
    <row r="257" spans="1:13" s="21" customFormat="1" ht="48" customHeight="1" x14ac:dyDescent="0.25">
      <c r="A257" s="12"/>
      <c r="B257" s="22" t="s">
        <v>11</v>
      </c>
      <c r="C257" s="22" t="s">
        <v>229</v>
      </c>
      <c r="D257" s="45">
        <f>3*1000</f>
        <v>3000</v>
      </c>
      <c r="E257" s="25"/>
      <c r="F257" s="45"/>
      <c r="G257" s="46"/>
      <c r="H257" s="46"/>
      <c r="M257" s="47"/>
    </row>
    <row r="258" spans="1:13" s="21" customFormat="1" ht="24" x14ac:dyDescent="0.25">
      <c r="A258" s="12"/>
      <c r="B258" s="22" t="s">
        <v>11</v>
      </c>
      <c r="C258" s="22" t="s">
        <v>228</v>
      </c>
      <c r="D258" s="45">
        <f>1*1000</f>
        <v>1000</v>
      </c>
      <c r="E258" s="25"/>
      <c r="F258" s="45"/>
      <c r="G258" s="46"/>
      <c r="H258" s="46"/>
      <c r="M258" s="47"/>
    </row>
    <row r="259" spans="1:13" s="21" customFormat="1" x14ac:dyDescent="0.25">
      <c r="A259" s="23"/>
      <c r="B259" s="22"/>
      <c r="C259" s="15" t="s">
        <v>20</v>
      </c>
      <c r="D259" s="48">
        <f>SUM(D252:D258)</f>
        <v>16000</v>
      </c>
      <c r="E259" s="25"/>
      <c r="F259" s="49"/>
      <c r="G259" s="46"/>
      <c r="H259" s="46"/>
      <c r="M259" s="47"/>
    </row>
    <row r="260" spans="1:13" s="21" customFormat="1" x14ac:dyDescent="0.25">
      <c r="A260" s="23"/>
      <c r="B260" s="22"/>
      <c r="C260" s="15"/>
      <c r="D260" s="49"/>
      <c r="E260" s="25"/>
      <c r="F260" s="49"/>
      <c r="G260" s="46"/>
      <c r="H260" s="46"/>
      <c r="M260" s="47"/>
    </row>
    <row r="261" spans="1:13" s="12" customFormat="1" x14ac:dyDescent="0.25">
      <c r="A261" s="12" t="s">
        <v>56</v>
      </c>
      <c r="B261" s="18"/>
      <c r="C261" s="18"/>
      <c r="D261" s="70"/>
      <c r="E261" s="71"/>
      <c r="F261" s="70"/>
      <c r="G261" s="71"/>
      <c r="H261" s="71"/>
      <c r="M261" s="72"/>
    </row>
    <row r="262" spans="1:13" s="21" customFormat="1" ht="24" x14ac:dyDescent="0.25">
      <c r="A262" s="23"/>
      <c r="B262" s="22" t="s">
        <v>22</v>
      </c>
      <c r="C262" s="22" t="s">
        <v>204</v>
      </c>
      <c r="D262" s="45">
        <f>0.3*1000</f>
        <v>300</v>
      </c>
      <c r="E262" s="25"/>
      <c r="F262" s="70"/>
      <c r="G262" s="46"/>
      <c r="H262" s="46"/>
      <c r="M262" s="47"/>
    </row>
    <row r="263" spans="1:13" s="21" customFormat="1" ht="24" x14ac:dyDescent="0.25">
      <c r="A263" s="23"/>
      <c r="B263" s="22" t="s">
        <v>21</v>
      </c>
      <c r="C263" s="22" t="s">
        <v>205</v>
      </c>
      <c r="D263" s="45">
        <f>0.5*1000</f>
        <v>500</v>
      </c>
      <c r="E263" s="25"/>
      <c r="F263" s="70"/>
      <c r="G263" s="46"/>
      <c r="H263" s="46"/>
      <c r="M263" s="47"/>
    </row>
    <row r="264" spans="1:13" s="21" customFormat="1" x14ac:dyDescent="0.25">
      <c r="A264" s="23"/>
      <c r="B264" s="22"/>
      <c r="C264" s="15" t="s">
        <v>20</v>
      </c>
      <c r="D264" s="48">
        <f>SUM(D262:D263)</f>
        <v>800</v>
      </c>
      <c r="E264" s="25"/>
      <c r="F264" s="70"/>
      <c r="G264" s="46"/>
      <c r="H264" s="46"/>
      <c r="M264" s="47"/>
    </row>
    <row r="265" spans="1:13" s="21" customFormat="1" x14ac:dyDescent="0.25">
      <c r="A265" s="23"/>
      <c r="B265" s="22"/>
      <c r="C265" s="15"/>
      <c r="D265" s="49"/>
      <c r="E265" s="25"/>
      <c r="F265" s="49"/>
      <c r="G265" s="46"/>
      <c r="H265" s="46"/>
      <c r="M265" s="47"/>
    </row>
    <row r="266" spans="1:13" s="12" customFormat="1" x14ac:dyDescent="0.25">
      <c r="A266" s="12" t="s">
        <v>57</v>
      </c>
      <c r="B266" s="18"/>
      <c r="C266" s="18"/>
      <c r="D266" s="71"/>
      <c r="E266" s="71"/>
      <c r="F266" s="70"/>
      <c r="G266" s="71"/>
      <c r="H266" s="71"/>
      <c r="M266" s="72"/>
    </row>
    <row r="267" spans="1:13" s="12" customFormat="1" ht="12" customHeight="1" x14ac:dyDescent="0.25">
      <c r="B267" s="22" t="s">
        <v>4</v>
      </c>
      <c r="C267" s="22" t="s">
        <v>119</v>
      </c>
      <c r="D267" s="45">
        <f>0.5*1000</f>
        <v>500</v>
      </c>
      <c r="E267" s="71"/>
      <c r="F267" s="70"/>
      <c r="G267" s="71"/>
      <c r="H267" s="71"/>
      <c r="M267" s="72"/>
    </row>
    <row r="268" spans="1:13" s="12" customFormat="1" ht="24" x14ac:dyDescent="0.25">
      <c r="B268" s="22" t="s">
        <v>29</v>
      </c>
      <c r="C268" s="22" t="s">
        <v>247</v>
      </c>
      <c r="D268" s="45">
        <f>0.225*1000</f>
        <v>225</v>
      </c>
      <c r="E268" s="71"/>
      <c r="F268" s="70"/>
      <c r="G268" s="71"/>
      <c r="H268" s="71"/>
      <c r="M268" s="72"/>
    </row>
    <row r="269" spans="1:13" s="21" customFormat="1" x14ac:dyDescent="0.25">
      <c r="A269" s="23"/>
      <c r="B269" s="22" t="s">
        <v>11</v>
      </c>
      <c r="C269" s="22" t="s">
        <v>248</v>
      </c>
      <c r="D269" s="45">
        <f>0.8*1000</f>
        <v>800</v>
      </c>
      <c r="E269" s="25"/>
      <c r="F269" s="49"/>
      <c r="G269" s="46"/>
      <c r="H269" s="46"/>
      <c r="M269" s="47"/>
    </row>
    <row r="270" spans="1:13" s="21" customFormat="1" ht="36" x14ac:dyDescent="0.25">
      <c r="A270" s="23"/>
      <c r="B270" s="22" t="s">
        <v>11</v>
      </c>
      <c r="C270" s="22" t="s">
        <v>206</v>
      </c>
      <c r="D270" s="45">
        <f t="shared" ref="D270:D271" si="3">0.5*1000</f>
        <v>500</v>
      </c>
      <c r="E270" s="25"/>
      <c r="F270" s="49"/>
      <c r="G270" s="46"/>
      <c r="H270" s="46"/>
      <c r="M270" s="47"/>
    </row>
    <row r="271" spans="1:13" s="21" customFormat="1" x14ac:dyDescent="0.25">
      <c r="A271" s="23"/>
      <c r="B271" s="22" t="s">
        <v>11</v>
      </c>
      <c r="C271" s="22" t="s">
        <v>117</v>
      </c>
      <c r="D271" s="45">
        <f t="shared" si="3"/>
        <v>500</v>
      </c>
      <c r="E271" s="25"/>
      <c r="F271" s="49"/>
      <c r="G271" s="46"/>
      <c r="H271" s="46"/>
      <c r="M271" s="47"/>
    </row>
    <row r="272" spans="1:13" s="21" customFormat="1" ht="24" x14ac:dyDescent="0.25">
      <c r="A272" s="23"/>
      <c r="B272" s="22" t="s">
        <v>11</v>
      </c>
      <c r="C272" s="22" t="s">
        <v>207</v>
      </c>
      <c r="D272" s="45">
        <f>0.75*1000</f>
        <v>750</v>
      </c>
      <c r="E272" s="25"/>
      <c r="F272" s="49"/>
      <c r="G272" s="46"/>
      <c r="H272" s="46"/>
      <c r="M272" s="47"/>
    </row>
    <row r="273" spans="1:14" s="21" customFormat="1" ht="24" x14ac:dyDescent="0.25">
      <c r="A273" s="23"/>
      <c r="B273" s="22" t="s">
        <v>11</v>
      </c>
      <c r="C273" s="22" t="s">
        <v>208</v>
      </c>
      <c r="D273" s="45">
        <f>0.95*1000</f>
        <v>950</v>
      </c>
      <c r="E273" s="25"/>
      <c r="F273" s="49"/>
      <c r="G273" s="46"/>
      <c r="H273" s="46"/>
      <c r="M273" s="47"/>
    </row>
    <row r="274" spans="1:14" s="21" customFormat="1" ht="24" x14ac:dyDescent="0.25">
      <c r="A274" s="23"/>
      <c r="B274" s="22" t="s">
        <v>11</v>
      </c>
      <c r="C274" s="22" t="s">
        <v>209</v>
      </c>
      <c r="D274" s="45">
        <f>0.8*1000</f>
        <v>800</v>
      </c>
      <c r="E274" s="25"/>
      <c r="F274" s="49"/>
      <c r="G274" s="46"/>
      <c r="H274" s="46"/>
      <c r="M274" s="47"/>
    </row>
    <row r="275" spans="1:14" s="21" customFormat="1" x14ac:dyDescent="0.25">
      <c r="A275" s="23"/>
      <c r="B275" s="22"/>
      <c r="C275" s="15" t="s">
        <v>20</v>
      </c>
      <c r="D275" s="48">
        <f>SUM(D267:D274)</f>
        <v>5025</v>
      </c>
      <c r="E275" s="25"/>
      <c r="F275" s="49"/>
      <c r="G275" s="46"/>
      <c r="H275" s="46"/>
      <c r="M275" s="47"/>
    </row>
    <row r="276" spans="1:14" s="21" customFormat="1" x14ac:dyDescent="0.25">
      <c r="A276" s="23"/>
      <c r="B276" s="22"/>
      <c r="C276" s="15"/>
      <c r="D276" s="45"/>
      <c r="E276" s="25"/>
      <c r="F276" s="45"/>
      <c r="G276" s="46"/>
      <c r="H276" s="46"/>
      <c r="M276" s="47"/>
    </row>
    <row r="277" spans="1:14" s="21" customFormat="1" ht="13.5" x14ac:dyDescent="0.25">
      <c r="A277" s="73" t="s">
        <v>120</v>
      </c>
      <c r="B277" s="58"/>
      <c r="C277" s="59"/>
      <c r="D277" s="40">
        <f>SUM(D280,D284,D288,D294,D307,D312,D318,D323,D328,D332,D337,D348,D354)</f>
        <v>52228.622000000003</v>
      </c>
      <c r="E277" s="40"/>
      <c r="F277" s="40">
        <f>SUM(F280,F284,F288,F294,F76,F307,F318,F312,F323,F328,F332,F337,F341,F348,F354)</f>
        <v>130064.675</v>
      </c>
      <c r="G277" s="46"/>
      <c r="H277" s="46"/>
      <c r="M277" s="47"/>
    </row>
    <row r="278" spans="1:14" s="21" customFormat="1" x14ac:dyDescent="0.25">
      <c r="A278" s="12" t="s">
        <v>121</v>
      </c>
      <c r="B278" s="23"/>
      <c r="C278" s="22"/>
      <c r="D278" s="70"/>
      <c r="E278" s="70"/>
      <c r="F278" s="70"/>
      <c r="G278" s="46"/>
      <c r="H278" s="46"/>
      <c r="M278" s="47"/>
    </row>
    <row r="279" spans="1:14" s="21" customFormat="1" x14ac:dyDescent="0.25">
      <c r="A279" s="12"/>
      <c r="B279" s="23" t="s">
        <v>67</v>
      </c>
      <c r="C279" s="22" t="s">
        <v>122</v>
      </c>
      <c r="D279" s="70"/>
      <c r="E279" s="70"/>
      <c r="F279" s="45">
        <f>3.549675*1000</f>
        <v>3549.6750000000002</v>
      </c>
      <c r="G279" s="46"/>
      <c r="H279" s="46"/>
      <c r="M279" s="47"/>
    </row>
    <row r="280" spans="1:14" s="21" customFormat="1" x14ac:dyDescent="0.25">
      <c r="A280" s="23"/>
      <c r="B280" s="27"/>
      <c r="C280" s="15" t="s">
        <v>20</v>
      </c>
      <c r="D280" s="49"/>
      <c r="E280" s="60"/>
      <c r="F280" s="48">
        <f>SUM(F278:F279)</f>
        <v>3549.6750000000002</v>
      </c>
      <c r="G280" s="46"/>
      <c r="H280" s="46"/>
      <c r="I280" s="61"/>
      <c r="J280" s="61"/>
      <c r="K280" s="61"/>
      <c r="L280" s="61"/>
      <c r="M280" s="61"/>
    </row>
    <row r="281" spans="1:14" s="21" customFormat="1" x14ac:dyDescent="0.25">
      <c r="A281" s="12"/>
      <c r="B281" s="23"/>
      <c r="C281" s="22"/>
      <c r="D281" s="70"/>
      <c r="E281" s="70"/>
      <c r="F281" s="70"/>
      <c r="G281" s="46"/>
      <c r="H281" s="46"/>
      <c r="M281" s="47"/>
    </row>
    <row r="282" spans="1:14" s="21" customFormat="1" x14ac:dyDescent="0.25">
      <c r="A282" s="55" t="s">
        <v>39</v>
      </c>
      <c r="C282" s="15"/>
      <c r="D282" s="45"/>
      <c r="E282" s="25"/>
      <c r="F282" s="45"/>
      <c r="G282" s="46"/>
      <c r="H282" s="46"/>
      <c r="I282" s="16"/>
      <c r="J282" s="51"/>
      <c r="K282" s="16"/>
      <c r="L282" s="16"/>
      <c r="M282" s="47"/>
    </row>
    <row r="283" spans="1:14" s="21" customFormat="1" ht="36" customHeight="1" x14ac:dyDescent="0.25">
      <c r="A283" s="23"/>
      <c r="B283" s="24" t="s">
        <v>11</v>
      </c>
      <c r="C283" s="34" t="s">
        <v>210</v>
      </c>
      <c r="D283" s="45">
        <f>1*1000</f>
        <v>1000</v>
      </c>
      <c r="E283" s="25"/>
      <c r="F283" s="45"/>
      <c r="G283" s="46"/>
      <c r="H283" s="46"/>
      <c r="I283" s="16"/>
      <c r="J283" s="51"/>
      <c r="K283" s="16"/>
      <c r="L283" s="16"/>
      <c r="M283" s="47"/>
    </row>
    <row r="284" spans="1:14" s="21" customFormat="1" x14ac:dyDescent="0.25">
      <c r="A284" s="23"/>
      <c r="B284" s="22"/>
      <c r="C284" s="15" t="s">
        <v>20</v>
      </c>
      <c r="D284" s="48">
        <f>SUM(D283)</f>
        <v>1000</v>
      </c>
      <c r="E284" s="25"/>
      <c r="F284" s="45"/>
      <c r="G284" s="46"/>
      <c r="H284" s="46"/>
      <c r="J284" s="47"/>
      <c r="M284" s="47"/>
    </row>
    <row r="285" spans="1:14" s="21" customFormat="1" x14ac:dyDescent="0.25">
      <c r="A285" s="12"/>
      <c r="B285" s="23"/>
      <c r="C285" s="22"/>
      <c r="D285" s="70"/>
      <c r="E285" s="70"/>
      <c r="F285" s="70"/>
      <c r="G285" s="46"/>
      <c r="H285" s="46"/>
      <c r="M285" s="47"/>
    </row>
    <row r="286" spans="1:14" s="21" customFormat="1" x14ac:dyDescent="0.25">
      <c r="A286" s="17" t="s">
        <v>123</v>
      </c>
      <c r="B286" s="26"/>
      <c r="C286" s="27"/>
      <c r="D286" s="45"/>
      <c r="E286" s="60"/>
      <c r="F286" s="45"/>
      <c r="G286" s="46"/>
      <c r="H286" s="46"/>
      <c r="I286" s="61"/>
      <c r="J286" s="61"/>
      <c r="K286" s="61"/>
      <c r="L286" s="61"/>
      <c r="M286" s="61"/>
      <c r="N286" s="62"/>
    </row>
    <row r="287" spans="1:14" s="21" customFormat="1" ht="24" x14ac:dyDescent="0.25">
      <c r="A287" s="17"/>
      <c r="B287" s="22" t="s">
        <v>17</v>
      </c>
      <c r="C287" s="27" t="s">
        <v>211</v>
      </c>
      <c r="D287" s="49"/>
      <c r="E287" s="60"/>
      <c r="F287" s="45">
        <f>10.5*1000</f>
        <v>10500</v>
      </c>
      <c r="G287" s="46"/>
      <c r="H287" s="46"/>
      <c r="I287" s="61"/>
      <c r="J287" s="61"/>
      <c r="K287" s="61"/>
      <c r="L287" s="61"/>
      <c r="M287" s="61"/>
      <c r="N287" s="62"/>
    </row>
    <row r="288" spans="1:14" s="21" customFormat="1" x14ac:dyDescent="0.25">
      <c r="A288" s="23"/>
      <c r="B288" s="27"/>
      <c r="C288" s="15" t="s">
        <v>20</v>
      </c>
      <c r="D288" s="49"/>
      <c r="E288" s="60"/>
      <c r="F288" s="48">
        <f>SUM(F287:F287)</f>
        <v>10500</v>
      </c>
      <c r="G288" s="46"/>
      <c r="H288" s="46"/>
      <c r="I288" s="61"/>
      <c r="J288" s="61"/>
      <c r="K288" s="61"/>
      <c r="L288" s="61"/>
      <c r="M288" s="61"/>
    </row>
    <row r="289" spans="1:14" s="21" customFormat="1" x14ac:dyDescent="0.25">
      <c r="A289" s="17"/>
      <c r="B289" s="22"/>
      <c r="C289" s="27"/>
      <c r="D289" s="45"/>
      <c r="E289" s="60"/>
      <c r="F289" s="45"/>
      <c r="G289" s="46"/>
      <c r="H289" s="46"/>
      <c r="I289" s="61"/>
      <c r="J289" s="61"/>
      <c r="K289" s="61"/>
      <c r="L289" s="61"/>
      <c r="M289" s="61"/>
      <c r="N289" s="62"/>
    </row>
    <row r="290" spans="1:14" s="21" customFormat="1" x14ac:dyDescent="0.25">
      <c r="A290" s="17" t="s">
        <v>40</v>
      </c>
      <c r="B290" s="26"/>
      <c r="C290" s="27"/>
      <c r="D290" s="45"/>
      <c r="E290" s="60"/>
      <c r="F290" s="45"/>
      <c r="G290" s="46"/>
      <c r="H290" s="46"/>
      <c r="I290" s="61"/>
      <c r="J290" s="61"/>
      <c r="K290" s="61"/>
      <c r="L290" s="61"/>
      <c r="M290" s="61"/>
      <c r="N290" s="62"/>
    </row>
    <row r="291" spans="1:14" s="21" customFormat="1" ht="24" x14ac:dyDescent="0.25">
      <c r="A291" s="17"/>
      <c r="B291" s="22" t="s">
        <v>5</v>
      </c>
      <c r="C291" s="27" t="s">
        <v>61</v>
      </c>
      <c r="D291" s="45"/>
      <c r="E291" s="60"/>
      <c r="F291" s="45">
        <f>22.6*1000</f>
        <v>22600</v>
      </c>
      <c r="G291" s="46"/>
      <c r="H291" s="46"/>
      <c r="I291" s="61"/>
      <c r="J291" s="61"/>
      <c r="K291" s="61"/>
      <c r="L291" s="61"/>
      <c r="M291" s="61"/>
      <c r="N291" s="62"/>
    </row>
    <row r="292" spans="1:14" s="21" customFormat="1" ht="24" x14ac:dyDescent="0.25">
      <c r="A292" s="17"/>
      <c r="B292" s="22" t="s">
        <v>29</v>
      </c>
      <c r="C292" s="27" t="s">
        <v>141</v>
      </c>
      <c r="D292" s="49"/>
      <c r="E292" s="60"/>
      <c r="F292" s="45">
        <f>5.4*1000</f>
        <v>5400</v>
      </c>
      <c r="G292" s="46"/>
      <c r="H292" s="46"/>
      <c r="I292" s="61"/>
      <c r="J292" s="61"/>
      <c r="K292" s="61"/>
      <c r="L292" s="61"/>
      <c r="M292" s="61"/>
      <c r="N292" s="62"/>
    </row>
    <row r="293" spans="1:14" s="21" customFormat="1" x14ac:dyDescent="0.25">
      <c r="A293" s="17"/>
      <c r="B293" s="22" t="s">
        <v>43</v>
      </c>
      <c r="C293" s="27" t="s">
        <v>106</v>
      </c>
      <c r="D293" s="45"/>
      <c r="E293" s="60"/>
      <c r="F293" s="45">
        <f>2.1*1000</f>
        <v>2100</v>
      </c>
      <c r="G293" s="46"/>
      <c r="H293" s="46"/>
      <c r="I293" s="61"/>
      <c r="J293" s="61"/>
      <c r="K293" s="61"/>
      <c r="L293" s="61"/>
      <c r="M293" s="61"/>
      <c r="N293" s="62"/>
    </row>
    <row r="294" spans="1:14" s="21" customFormat="1" x14ac:dyDescent="0.25">
      <c r="A294" s="23"/>
      <c r="B294" s="27"/>
      <c r="C294" s="15" t="s">
        <v>20</v>
      </c>
      <c r="D294" s="49"/>
      <c r="E294" s="60"/>
      <c r="F294" s="48">
        <f>SUM(F291:F293)</f>
        <v>30100</v>
      </c>
      <c r="G294" s="46"/>
      <c r="H294" s="46"/>
      <c r="I294" s="61"/>
      <c r="J294" s="61"/>
      <c r="K294" s="61"/>
      <c r="L294" s="61"/>
      <c r="M294" s="61"/>
    </row>
    <row r="295" spans="1:14" s="21" customFormat="1" x14ac:dyDescent="0.25">
      <c r="A295" s="17"/>
      <c r="B295" s="22"/>
      <c r="C295" s="27"/>
      <c r="D295" s="45"/>
      <c r="E295" s="60"/>
      <c r="F295" s="45"/>
      <c r="G295" s="46"/>
      <c r="H295" s="46"/>
      <c r="I295" s="61"/>
      <c r="J295" s="61"/>
      <c r="K295" s="61"/>
      <c r="L295" s="61"/>
      <c r="M295" s="61"/>
      <c r="N295" s="62"/>
    </row>
    <row r="296" spans="1:14" s="21" customFormat="1" x14ac:dyDescent="0.25">
      <c r="A296" s="55" t="s">
        <v>10</v>
      </c>
      <c r="B296" s="22"/>
      <c r="C296" s="54"/>
      <c r="D296" s="45"/>
      <c r="E296" s="25"/>
      <c r="F296" s="45"/>
      <c r="G296" s="46"/>
      <c r="H296" s="46"/>
      <c r="I296" s="16"/>
      <c r="J296" s="51"/>
      <c r="K296" s="16"/>
      <c r="L296" s="16"/>
      <c r="M296" s="47"/>
    </row>
    <row r="297" spans="1:14" s="21" customFormat="1" x14ac:dyDescent="0.25">
      <c r="A297" s="23"/>
      <c r="B297" s="24" t="s">
        <v>124</v>
      </c>
      <c r="C297" s="34" t="s">
        <v>125</v>
      </c>
      <c r="D297" s="46"/>
      <c r="E297" s="25"/>
      <c r="F297" s="45">
        <f>0.7*1000</f>
        <v>700</v>
      </c>
      <c r="G297" s="46"/>
      <c r="H297" s="46"/>
      <c r="I297" s="16"/>
      <c r="J297" s="51"/>
      <c r="K297" s="16"/>
      <c r="L297" s="16"/>
      <c r="M297" s="47"/>
    </row>
    <row r="298" spans="1:14" s="21" customFormat="1" x14ac:dyDescent="0.25">
      <c r="A298" s="23"/>
      <c r="B298" s="24" t="s">
        <v>69</v>
      </c>
      <c r="C298" s="34" t="s">
        <v>70</v>
      </c>
      <c r="D298" s="45"/>
      <c r="E298" s="25"/>
      <c r="F298" s="45">
        <f>4.588*1000</f>
        <v>4588</v>
      </c>
      <c r="G298" s="46"/>
      <c r="H298" s="46"/>
      <c r="I298" s="16"/>
      <c r="J298" s="51"/>
      <c r="K298" s="16"/>
      <c r="L298" s="16"/>
      <c r="M298" s="47"/>
    </row>
    <row r="299" spans="1:14" s="21" customFormat="1" x14ac:dyDescent="0.25">
      <c r="A299" s="23"/>
      <c r="B299" s="24" t="s">
        <v>44</v>
      </c>
      <c r="C299" s="34" t="s">
        <v>74</v>
      </c>
      <c r="D299" s="45"/>
      <c r="E299" s="25"/>
      <c r="F299" s="45">
        <f>4.587*1000</f>
        <v>4587</v>
      </c>
      <c r="G299" s="46"/>
      <c r="H299" s="46"/>
      <c r="I299" s="16"/>
      <c r="J299" s="51"/>
      <c r="K299" s="16"/>
      <c r="L299" s="16"/>
      <c r="M299" s="47"/>
    </row>
    <row r="300" spans="1:14" s="21" customFormat="1" ht="12" customHeight="1" x14ac:dyDescent="0.25">
      <c r="A300" s="23"/>
      <c r="B300" s="24" t="s">
        <v>44</v>
      </c>
      <c r="C300" s="34" t="s">
        <v>126</v>
      </c>
      <c r="D300" s="45"/>
      <c r="E300" s="25"/>
      <c r="F300" s="45">
        <f>1.84*1000</f>
        <v>1840</v>
      </c>
      <c r="G300" s="46"/>
      <c r="H300" s="46"/>
      <c r="I300" s="16"/>
      <c r="J300" s="51"/>
      <c r="K300" s="16"/>
      <c r="L300" s="16"/>
      <c r="M300" s="47"/>
    </row>
    <row r="301" spans="1:14" s="21" customFormat="1" ht="24" x14ac:dyDescent="0.25">
      <c r="A301" s="23"/>
      <c r="B301" s="24" t="s">
        <v>30</v>
      </c>
      <c r="C301" s="34" t="s">
        <v>212</v>
      </c>
      <c r="D301" s="45">
        <f>7.5*1000</f>
        <v>7500</v>
      </c>
      <c r="E301" s="25"/>
      <c r="F301" s="45"/>
      <c r="G301" s="46"/>
      <c r="H301" s="46"/>
      <c r="I301" s="16"/>
      <c r="J301" s="51"/>
      <c r="K301" s="16"/>
      <c r="L301" s="16"/>
      <c r="M301" s="47"/>
    </row>
    <row r="302" spans="1:14" s="21" customFormat="1" ht="48" x14ac:dyDescent="0.25">
      <c r="A302" s="23"/>
      <c r="B302" s="24" t="s">
        <v>11</v>
      </c>
      <c r="C302" s="34" t="s">
        <v>230</v>
      </c>
      <c r="D302" s="45">
        <f>0.476888*1000</f>
        <v>476.88799999999998</v>
      </c>
      <c r="E302" s="25"/>
      <c r="F302" s="45"/>
      <c r="G302" s="46"/>
      <c r="H302" s="46"/>
      <c r="I302" s="16"/>
      <c r="J302" s="51"/>
      <c r="K302" s="16"/>
      <c r="L302" s="16"/>
      <c r="M302" s="47"/>
    </row>
    <row r="303" spans="1:14" s="21" customFormat="1" ht="24" x14ac:dyDescent="0.25">
      <c r="A303" s="23"/>
      <c r="B303" s="24" t="s">
        <v>11</v>
      </c>
      <c r="C303" s="34" t="s">
        <v>213</v>
      </c>
      <c r="D303" s="45">
        <f>0.909083*1000</f>
        <v>909.08299999999997</v>
      </c>
      <c r="E303" s="25"/>
      <c r="F303" s="45"/>
      <c r="G303" s="46"/>
      <c r="H303" s="46"/>
      <c r="I303" s="16"/>
      <c r="J303" s="51"/>
      <c r="K303" s="16"/>
      <c r="L303" s="16"/>
      <c r="M303" s="47"/>
    </row>
    <row r="304" spans="1:14" s="21" customFormat="1" x14ac:dyDescent="0.25">
      <c r="A304" s="23"/>
      <c r="B304" s="24" t="s">
        <v>11</v>
      </c>
      <c r="C304" s="34" t="s">
        <v>118</v>
      </c>
      <c r="D304" s="45">
        <f>1.8*1000</f>
        <v>1800</v>
      </c>
      <c r="E304" s="25"/>
      <c r="F304" s="45"/>
      <c r="G304" s="46"/>
      <c r="H304" s="46"/>
      <c r="I304" s="16"/>
      <c r="J304" s="51"/>
      <c r="K304" s="16"/>
      <c r="L304" s="16"/>
      <c r="M304" s="47"/>
    </row>
    <row r="305" spans="1:14" s="21" customFormat="1" ht="24" x14ac:dyDescent="0.25">
      <c r="A305" s="23"/>
      <c r="B305" s="24" t="s">
        <v>11</v>
      </c>
      <c r="C305" s="34" t="s">
        <v>214</v>
      </c>
      <c r="D305" s="45">
        <f>4.449542*1000</f>
        <v>4449.5420000000004</v>
      </c>
      <c r="E305" s="25"/>
      <c r="F305" s="45"/>
      <c r="G305" s="46"/>
      <c r="H305" s="46"/>
      <c r="I305" s="16"/>
      <c r="J305" s="51"/>
      <c r="K305" s="16"/>
      <c r="L305" s="16"/>
      <c r="M305" s="47"/>
    </row>
    <row r="306" spans="1:14" s="21" customFormat="1" ht="24" x14ac:dyDescent="0.25">
      <c r="A306" s="23"/>
      <c r="B306" s="24" t="s">
        <v>11</v>
      </c>
      <c r="C306" s="34" t="s">
        <v>240</v>
      </c>
      <c r="D306" s="45">
        <f>7.123*1000</f>
        <v>7123</v>
      </c>
      <c r="E306" s="25"/>
      <c r="F306" s="45"/>
      <c r="G306" s="46"/>
      <c r="H306" s="46"/>
      <c r="I306" s="16"/>
      <c r="J306" s="51"/>
      <c r="K306" s="16"/>
      <c r="L306" s="16"/>
      <c r="M306" s="47"/>
    </row>
    <row r="307" spans="1:14" s="21" customFormat="1" x14ac:dyDescent="0.25">
      <c r="C307" s="15" t="s">
        <v>20</v>
      </c>
      <c r="D307" s="48">
        <f>SUM(D297:D306)</f>
        <v>22258.512999999999</v>
      </c>
      <c r="E307" s="49"/>
      <c r="F307" s="48">
        <f>SUM(F297:F306)</f>
        <v>11715</v>
      </c>
      <c r="G307" s="46"/>
      <c r="H307" s="46"/>
      <c r="J307" s="47"/>
      <c r="M307" s="47"/>
    </row>
    <row r="308" spans="1:14" s="21" customFormat="1" x14ac:dyDescent="0.25">
      <c r="A308" s="17"/>
      <c r="B308" s="22"/>
      <c r="C308" s="27"/>
      <c r="D308" s="45"/>
      <c r="E308" s="60"/>
      <c r="F308" s="45"/>
      <c r="G308" s="46"/>
      <c r="H308" s="46"/>
      <c r="I308" s="61"/>
      <c r="J308" s="61"/>
      <c r="K308" s="61"/>
      <c r="L308" s="61"/>
      <c r="M308" s="61"/>
      <c r="N308" s="62"/>
    </row>
    <row r="309" spans="1:14" s="21" customFormat="1" x14ac:dyDescent="0.25">
      <c r="A309" s="55" t="s">
        <v>127</v>
      </c>
      <c r="B309" s="24"/>
      <c r="C309" s="34"/>
      <c r="D309" s="45"/>
      <c r="E309" s="25"/>
      <c r="F309" s="45"/>
      <c r="G309" s="46"/>
      <c r="H309" s="46"/>
      <c r="I309" s="16"/>
      <c r="J309" s="51"/>
      <c r="K309" s="16"/>
      <c r="L309" s="16"/>
      <c r="M309" s="47"/>
    </row>
    <row r="310" spans="1:14" s="21" customFormat="1" x14ac:dyDescent="0.25">
      <c r="A310" s="23"/>
      <c r="B310" s="24" t="s">
        <v>3</v>
      </c>
      <c r="C310" s="34" t="s">
        <v>128</v>
      </c>
      <c r="D310" s="45">
        <f>0.2*1000</f>
        <v>200</v>
      </c>
      <c r="E310" s="25"/>
      <c r="F310" s="45"/>
      <c r="G310" s="46"/>
      <c r="H310" s="46"/>
      <c r="I310" s="16"/>
      <c r="J310" s="51"/>
      <c r="K310" s="16"/>
      <c r="L310" s="16"/>
      <c r="M310" s="47"/>
    </row>
    <row r="311" spans="1:14" s="21" customFormat="1" x14ac:dyDescent="0.25">
      <c r="A311" s="23"/>
      <c r="B311" s="24" t="s">
        <v>11</v>
      </c>
      <c r="C311" s="34" t="s">
        <v>129</v>
      </c>
      <c r="D311" s="45">
        <f>0.2*1000</f>
        <v>200</v>
      </c>
      <c r="E311" s="25"/>
      <c r="F311" s="49"/>
      <c r="G311" s="46"/>
      <c r="H311" s="46"/>
      <c r="I311" s="16"/>
      <c r="J311" s="51"/>
      <c r="K311" s="16"/>
      <c r="L311" s="16"/>
      <c r="M311" s="47"/>
    </row>
    <row r="312" spans="1:14" s="21" customFormat="1" x14ac:dyDescent="0.25">
      <c r="C312" s="15" t="s">
        <v>20</v>
      </c>
      <c r="D312" s="48">
        <f>SUM(D310:D311)</f>
        <v>400</v>
      </c>
      <c r="E312" s="49"/>
      <c r="F312" s="49"/>
      <c r="G312" s="46"/>
      <c r="H312" s="46"/>
      <c r="J312" s="47"/>
      <c r="M312" s="47"/>
    </row>
    <row r="313" spans="1:14" s="21" customFormat="1" x14ac:dyDescent="0.25">
      <c r="A313" s="55" t="s">
        <v>130</v>
      </c>
      <c r="B313" s="24"/>
      <c r="C313" s="34"/>
      <c r="D313" s="45"/>
      <c r="E313" s="25"/>
      <c r="F313" s="45"/>
      <c r="G313" s="46"/>
      <c r="H313" s="46"/>
      <c r="I313" s="16"/>
      <c r="J313" s="51"/>
      <c r="K313" s="16"/>
      <c r="L313" s="16"/>
      <c r="M313" s="47"/>
    </row>
    <row r="314" spans="1:14" s="21" customFormat="1" x14ac:dyDescent="0.25">
      <c r="A314" s="23"/>
      <c r="B314" s="22" t="s">
        <v>65</v>
      </c>
      <c r="C314" s="34" t="s">
        <v>131</v>
      </c>
      <c r="D314" s="45"/>
      <c r="E314" s="25"/>
      <c r="F314" s="45">
        <f>6*1000</f>
        <v>6000</v>
      </c>
      <c r="G314" s="46"/>
      <c r="H314" s="46"/>
      <c r="I314" s="16"/>
      <c r="J314" s="51"/>
      <c r="K314" s="16"/>
      <c r="L314" s="16"/>
      <c r="M314" s="47"/>
    </row>
    <row r="315" spans="1:14" s="21" customFormat="1" ht="24" x14ac:dyDescent="0.25">
      <c r="A315" s="23"/>
      <c r="B315" s="24" t="s">
        <v>17</v>
      </c>
      <c r="C315" s="34" t="s">
        <v>211</v>
      </c>
      <c r="D315" s="45"/>
      <c r="E315" s="25"/>
      <c r="F315" s="45">
        <f>25*1000</f>
        <v>25000</v>
      </c>
      <c r="G315" s="46"/>
      <c r="H315" s="46"/>
      <c r="I315" s="16"/>
      <c r="J315" s="51"/>
      <c r="K315" s="16"/>
      <c r="L315" s="16"/>
      <c r="M315" s="47"/>
    </row>
    <row r="316" spans="1:14" s="21" customFormat="1" ht="24" x14ac:dyDescent="0.25">
      <c r="A316" s="23"/>
      <c r="B316" s="24" t="s">
        <v>11</v>
      </c>
      <c r="C316" s="34" t="s">
        <v>145</v>
      </c>
      <c r="D316" s="45">
        <f>1.3*1000</f>
        <v>1300</v>
      </c>
      <c r="E316" s="25"/>
      <c r="F316" s="45"/>
      <c r="G316" s="46"/>
      <c r="H316" s="46"/>
      <c r="I316" s="16"/>
      <c r="J316" s="51"/>
      <c r="K316" s="16"/>
      <c r="L316" s="16"/>
      <c r="M316" s="47"/>
    </row>
    <row r="317" spans="1:14" s="21" customFormat="1" x14ac:dyDescent="0.25">
      <c r="A317" s="23"/>
      <c r="B317" s="24" t="s">
        <v>11</v>
      </c>
      <c r="C317" s="34" t="s">
        <v>132</v>
      </c>
      <c r="D317" s="45">
        <f>9.92*1000</f>
        <v>9920</v>
      </c>
      <c r="E317" s="25"/>
      <c r="F317" s="45"/>
      <c r="G317" s="46"/>
      <c r="H317" s="46"/>
      <c r="I317" s="16"/>
      <c r="J317" s="51"/>
      <c r="K317" s="16"/>
      <c r="L317" s="16"/>
      <c r="M317" s="47"/>
    </row>
    <row r="318" spans="1:14" s="21" customFormat="1" x14ac:dyDescent="0.25">
      <c r="C318" s="15" t="s">
        <v>20</v>
      </c>
      <c r="D318" s="48">
        <f>SUM(D314:D317)</f>
        <v>11220</v>
      </c>
      <c r="E318" s="49"/>
      <c r="F318" s="48">
        <f>SUM(F314:F317)</f>
        <v>31000</v>
      </c>
      <c r="G318" s="46"/>
      <c r="H318" s="46"/>
      <c r="J318" s="47"/>
      <c r="M318" s="47"/>
    </row>
    <row r="319" spans="1:14" s="21" customFormat="1" x14ac:dyDescent="0.25">
      <c r="A319" s="17"/>
      <c r="B319" s="22"/>
      <c r="C319" s="27"/>
      <c r="D319" s="45"/>
      <c r="E319" s="60"/>
      <c r="F319" s="45"/>
      <c r="G319" s="46"/>
      <c r="H319" s="46"/>
      <c r="I319" s="61"/>
      <c r="J319" s="61"/>
      <c r="K319" s="61"/>
      <c r="L319" s="61"/>
      <c r="M319" s="61"/>
      <c r="N319" s="62"/>
    </row>
    <row r="320" spans="1:14" s="21" customFormat="1" x14ac:dyDescent="0.25">
      <c r="A320" s="23"/>
      <c r="B320" s="24"/>
      <c r="C320" s="34"/>
      <c r="D320" s="45"/>
      <c r="E320" s="25"/>
      <c r="F320" s="45"/>
      <c r="G320" s="46"/>
      <c r="H320" s="46"/>
      <c r="I320" s="16"/>
      <c r="J320" s="51"/>
      <c r="K320" s="16"/>
      <c r="L320" s="16"/>
      <c r="M320" s="47"/>
    </row>
    <row r="321" spans="1:14" s="21" customFormat="1" x14ac:dyDescent="0.25">
      <c r="A321" s="12" t="s">
        <v>58</v>
      </c>
      <c r="B321" s="23"/>
      <c r="C321" s="22"/>
      <c r="D321" s="45"/>
      <c r="E321" s="25"/>
      <c r="F321" s="25"/>
      <c r="G321" s="46"/>
      <c r="H321" s="46"/>
      <c r="M321" s="47"/>
      <c r="N321" s="47"/>
    </row>
    <row r="322" spans="1:14" s="21" customFormat="1" ht="24" x14ac:dyDescent="0.25">
      <c r="A322" s="12"/>
      <c r="B322" s="26" t="s">
        <v>11</v>
      </c>
      <c r="C322" s="22" t="s">
        <v>62</v>
      </c>
      <c r="D322" s="45">
        <f>0.06*1000</f>
        <v>60</v>
      </c>
      <c r="E322" s="25"/>
      <c r="F322" s="25"/>
      <c r="G322" s="46"/>
      <c r="H322" s="46"/>
      <c r="M322" s="47"/>
      <c r="N322" s="47"/>
    </row>
    <row r="323" spans="1:14" s="21" customFormat="1" ht="14.45" customHeight="1" x14ac:dyDescent="0.25">
      <c r="A323" s="23"/>
      <c r="B323" s="22"/>
      <c r="C323" s="15" t="s">
        <v>20</v>
      </c>
      <c r="D323" s="48">
        <f>SUM(D322)</f>
        <v>60</v>
      </c>
      <c r="E323" s="25"/>
      <c r="F323" s="25"/>
      <c r="G323" s="46"/>
      <c r="H323" s="46"/>
      <c r="M323" s="47"/>
    </row>
    <row r="324" spans="1:14" s="21" customFormat="1" x14ac:dyDescent="0.25">
      <c r="A324" s="23"/>
      <c r="B324" s="27"/>
      <c r="C324" s="15"/>
      <c r="D324" s="49"/>
      <c r="E324" s="60"/>
      <c r="F324" s="25"/>
      <c r="G324" s="46"/>
      <c r="H324" s="46"/>
      <c r="I324" s="61"/>
      <c r="J324" s="61"/>
      <c r="K324" s="61"/>
      <c r="L324" s="61"/>
      <c r="M324" s="61"/>
    </row>
    <row r="325" spans="1:14" s="21" customFormat="1" x14ac:dyDescent="0.25">
      <c r="A325" s="12" t="s">
        <v>59</v>
      </c>
      <c r="B325" s="23"/>
      <c r="C325" s="22"/>
      <c r="D325" s="45"/>
      <c r="E325" s="25"/>
      <c r="F325" s="25"/>
      <c r="G325" s="46"/>
      <c r="H325" s="46"/>
      <c r="M325" s="47"/>
      <c r="N325" s="47"/>
    </row>
    <row r="326" spans="1:14" s="21" customFormat="1" x14ac:dyDescent="0.25">
      <c r="A326" s="12"/>
      <c r="B326" s="26" t="s">
        <v>50</v>
      </c>
      <c r="C326" s="22" t="s">
        <v>133</v>
      </c>
      <c r="D326" s="45">
        <f>0.375*1000</f>
        <v>375</v>
      </c>
      <c r="E326" s="25"/>
      <c r="F326" s="25"/>
      <c r="G326" s="46"/>
      <c r="H326" s="46"/>
      <c r="M326" s="47"/>
      <c r="N326" s="47"/>
    </row>
    <row r="327" spans="1:14" s="21" customFormat="1" ht="24" x14ac:dyDescent="0.25">
      <c r="A327" s="12"/>
      <c r="B327" s="26" t="s">
        <v>11</v>
      </c>
      <c r="C327" s="22" t="s">
        <v>145</v>
      </c>
      <c r="D327" s="45">
        <f>1.5*1000</f>
        <v>1500</v>
      </c>
      <c r="E327" s="25"/>
      <c r="F327" s="25"/>
      <c r="G327" s="46"/>
      <c r="H327" s="46"/>
      <c r="M327" s="47"/>
      <c r="N327" s="47"/>
    </row>
    <row r="328" spans="1:14" s="21" customFormat="1" ht="14.45" customHeight="1" x14ac:dyDescent="0.25">
      <c r="A328" s="23"/>
      <c r="B328" s="22"/>
      <c r="C328" s="15" t="s">
        <v>20</v>
      </c>
      <c r="D328" s="48">
        <f>SUM(D326:D327)</f>
        <v>1875</v>
      </c>
      <c r="E328" s="25"/>
      <c r="F328" s="25"/>
      <c r="G328" s="46"/>
      <c r="H328" s="46"/>
      <c r="M328" s="47"/>
    </row>
    <row r="329" spans="1:14" s="21" customFormat="1" x14ac:dyDescent="0.25">
      <c r="A329" s="23"/>
      <c r="B329" s="27"/>
      <c r="C329" s="15"/>
      <c r="D329" s="49"/>
      <c r="E329" s="60"/>
      <c r="F329" s="25"/>
      <c r="G329" s="46"/>
      <c r="H329" s="46"/>
      <c r="I329" s="61"/>
      <c r="J329" s="61"/>
      <c r="K329" s="61"/>
      <c r="L329" s="61"/>
      <c r="M329" s="61"/>
    </row>
    <row r="330" spans="1:14" s="21" customFormat="1" x14ac:dyDescent="0.25">
      <c r="A330" s="55" t="s">
        <v>249</v>
      </c>
      <c r="B330" s="24"/>
      <c r="C330" s="34"/>
      <c r="D330" s="45"/>
      <c r="E330" s="25"/>
      <c r="F330" s="45"/>
      <c r="G330" s="46"/>
      <c r="H330" s="46"/>
      <c r="I330" s="16"/>
      <c r="J330" s="51"/>
      <c r="K330" s="16"/>
      <c r="L330" s="16"/>
      <c r="M330" s="47"/>
    </row>
    <row r="331" spans="1:14" s="21" customFormat="1" ht="36" x14ac:dyDescent="0.25">
      <c r="A331" s="23"/>
      <c r="B331" s="24" t="s">
        <v>11</v>
      </c>
      <c r="C331" s="34" t="s">
        <v>215</v>
      </c>
      <c r="D331" s="45">
        <f>12*1000</f>
        <v>12000</v>
      </c>
      <c r="E331" s="25"/>
      <c r="F331" s="49"/>
      <c r="G331" s="46"/>
      <c r="H331" s="46"/>
      <c r="I331" s="16"/>
      <c r="J331" s="51"/>
      <c r="K331" s="16"/>
      <c r="L331" s="16"/>
      <c r="M331" s="47"/>
    </row>
    <row r="332" spans="1:14" s="21" customFormat="1" x14ac:dyDescent="0.25">
      <c r="C332" s="15" t="s">
        <v>20</v>
      </c>
      <c r="D332" s="48">
        <f>SUM(D331)</f>
        <v>12000</v>
      </c>
      <c r="E332" s="49"/>
      <c r="F332" s="49"/>
      <c r="G332" s="46"/>
      <c r="H332" s="46"/>
      <c r="J332" s="47"/>
      <c r="M332" s="47"/>
    </row>
    <row r="333" spans="1:14" s="21" customFormat="1" x14ac:dyDescent="0.25">
      <c r="A333" s="23"/>
      <c r="B333" s="27"/>
      <c r="C333" s="15"/>
      <c r="D333" s="49"/>
      <c r="E333" s="60"/>
      <c r="F333" s="25"/>
      <c r="G333" s="46"/>
      <c r="H333" s="46"/>
      <c r="I333" s="61"/>
      <c r="J333" s="61"/>
      <c r="K333" s="61"/>
      <c r="L333" s="61"/>
      <c r="M333" s="61"/>
    </row>
    <row r="334" spans="1:14" s="21" customFormat="1" x14ac:dyDescent="0.25">
      <c r="A334" s="55" t="s">
        <v>28</v>
      </c>
      <c r="B334" s="24"/>
      <c r="C334" s="34"/>
      <c r="D334" s="45"/>
      <c r="E334" s="25"/>
      <c r="F334" s="45"/>
      <c r="G334" s="46"/>
      <c r="H334" s="46"/>
      <c r="I334" s="16"/>
      <c r="J334" s="51"/>
      <c r="K334" s="16"/>
      <c r="L334" s="16"/>
      <c r="M334" s="47"/>
    </row>
    <row r="335" spans="1:14" s="21" customFormat="1" ht="25.5" x14ac:dyDescent="0.25">
      <c r="A335" s="23"/>
      <c r="B335" s="24" t="s">
        <v>26</v>
      </c>
      <c r="C335" s="34" t="s">
        <v>216</v>
      </c>
      <c r="D335" s="45">
        <f>0.07*1000</f>
        <v>70</v>
      </c>
      <c r="E335" s="25"/>
      <c r="F335" s="45"/>
      <c r="G335" s="46"/>
      <c r="H335" s="46"/>
      <c r="I335" s="16"/>
      <c r="J335" s="51"/>
      <c r="K335" s="16"/>
      <c r="L335" s="16"/>
      <c r="M335" s="47"/>
    </row>
    <row r="336" spans="1:14" s="21" customFormat="1" ht="25.5" customHeight="1" x14ac:dyDescent="0.25">
      <c r="A336" s="23"/>
      <c r="B336" s="24" t="s">
        <v>5</v>
      </c>
      <c r="C336" s="34" t="s">
        <v>217</v>
      </c>
      <c r="D336" s="45">
        <f>1*1000</f>
        <v>1000</v>
      </c>
      <c r="E336" s="25"/>
      <c r="F336" s="45"/>
      <c r="G336" s="46"/>
      <c r="H336" s="46"/>
      <c r="I336" s="16"/>
      <c r="J336" s="51"/>
      <c r="K336" s="16"/>
      <c r="L336" s="16"/>
      <c r="M336" s="47"/>
    </row>
    <row r="337" spans="1:14" s="21" customFormat="1" x14ac:dyDescent="0.25">
      <c r="A337" s="23"/>
      <c r="B337" s="22"/>
      <c r="C337" s="15" t="s">
        <v>20</v>
      </c>
      <c r="D337" s="48">
        <f>SUM(D335:D336)</f>
        <v>1070</v>
      </c>
      <c r="E337" s="25"/>
      <c r="F337" s="45"/>
      <c r="G337" s="46"/>
      <c r="H337" s="46"/>
      <c r="J337" s="47"/>
      <c r="M337" s="47"/>
    </row>
    <row r="338" spans="1:14" s="21" customFormat="1" x14ac:dyDescent="0.25">
      <c r="A338" s="23"/>
      <c r="B338" s="27"/>
      <c r="C338" s="15"/>
      <c r="D338" s="49"/>
      <c r="E338" s="60"/>
      <c r="F338" s="25"/>
      <c r="G338" s="46"/>
      <c r="H338" s="46"/>
      <c r="I338" s="61"/>
      <c r="J338" s="61"/>
      <c r="K338" s="61"/>
      <c r="L338" s="61"/>
      <c r="M338" s="61"/>
    </row>
    <row r="339" spans="1:14" s="21" customFormat="1" x14ac:dyDescent="0.25">
      <c r="A339" s="12" t="s">
        <v>134</v>
      </c>
      <c r="B339" s="23"/>
      <c r="C339" s="22"/>
      <c r="D339" s="45"/>
      <c r="E339" s="25"/>
      <c r="F339" s="25"/>
      <c r="G339" s="46"/>
      <c r="H339" s="46"/>
      <c r="M339" s="47"/>
      <c r="N339" s="47"/>
    </row>
    <row r="340" spans="1:14" s="21" customFormat="1" ht="36" x14ac:dyDescent="0.25">
      <c r="A340" s="12"/>
      <c r="B340" s="22" t="s">
        <v>250</v>
      </c>
      <c r="C340" s="22" t="s">
        <v>78</v>
      </c>
      <c r="D340" s="46"/>
      <c r="E340" s="25"/>
      <c r="F340" s="45">
        <f>8.2*1000</f>
        <v>8200</v>
      </c>
      <c r="G340" s="46"/>
      <c r="H340" s="46"/>
      <c r="M340" s="47"/>
      <c r="N340" s="47"/>
    </row>
    <row r="341" spans="1:14" s="21" customFormat="1" ht="14.45" customHeight="1" x14ac:dyDescent="0.25">
      <c r="A341" s="23"/>
      <c r="B341" s="22"/>
      <c r="C341" s="15" t="s">
        <v>20</v>
      </c>
      <c r="D341" s="46"/>
      <c r="E341" s="25"/>
      <c r="F341" s="48">
        <f>SUM(F340)</f>
        <v>8200</v>
      </c>
      <c r="G341" s="46"/>
      <c r="H341" s="46"/>
      <c r="M341" s="47"/>
    </row>
    <row r="342" spans="1:14" s="21" customFormat="1" x14ac:dyDescent="0.25">
      <c r="A342" s="23"/>
      <c r="B342" s="27"/>
      <c r="C342" s="15"/>
      <c r="D342" s="49"/>
      <c r="E342" s="60"/>
      <c r="F342" s="25"/>
      <c r="G342" s="46"/>
      <c r="H342" s="46"/>
      <c r="I342" s="61"/>
      <c r="J342" s="61"/>
      <c r="K342" s="61"/>
      <c r="L342" s="61"/>
      <c r="M342" s="61"/>
    </row>
    <row r="343" spans="1:14" s="21" customFormat="1" x14ac:dyDescent="0.25">
      <c r="A343" s="55" t="s">
        <v>60</v>
      </c>
      <c r="B343" s="24"/>
      <c r="C343" s="34"/>
      <c r="D343" s="45"/>
      <c r="E343" s="25"/>
      <c r="F343" s="45"/>
      <c r="G343" s="46"/>
      <c r="H343" s="46"/>
      <c r="I343" s="16"/>
      <c r="J343" s="51"/>
      <c r="K343" s="16"/>
      <c r="L343" s="16"/>
      <c r="M343" s="47"/>
    </row>
    <row r="344" spans="1:14" s="21" customFormat="1" ht="24" x14ac:dyDescent="0.25">
      <c r="A344" s="23"/>
      <c r="B344" s="24" t="s">
        <v>22</v>
      </c>
      <c r="C344" s="34" t="s">
        <v>63</v>
      </c>
      <c r="D344" s="45">
        <f>0.366555*1000</f>
        <v>366.55500000000001</v>
      </c>
      <c r="E344" s="25"/>
      <c r="F344" s="45"/>
      <c r="G344" s="46"/>
      <c r="H344" s="46"/>
      <c r="I344" s="16"/>
      <c r="J344" s="51"/>
      <c r="K344" s="16"/>
      <c r="L344" s="16"/>
      <c r="M344" s="47"/>
    </row>
    <row r="345" spans="1:14" s="21" customFormat="1" ht="24" x14ac:dyDescent="0.25">
      <c r="A345" s="23"/>
      <c r="B345" s="24" t="s">
        <v>22</v>
      </c>
      <c r="C345" s="34" t="s">
        <v>218</v>
      </c>
      <c r="D345" s="45">
        <f>0.345892*1000</f>
        <v>345.892</v>
      </c>
      <c r="E345" s="25"/>
      <c r="F345" s="45"/>
      <c r="G345" s="46"/>
      <c r="H345" s="46"/>
      <c r="I345" s="16"/>
      <c r="J345" s="51"/>
      <c r="K345" s="16"/>
      <c r="L345" s="16"/>
      <c r="M345" s="47"/>
    </row>
    <row r="346" spans="1:14" s="21" customFormat="1" ht="36" x14ac:dyDescent="0.25">
      <c r="A346" s="23"/>
      <c r="B346" s="24" t="s">
        <v>11</v>
      </c>
      <c r="C346" s="34" t="s">
        <v>176</v>
      </c>
      <c r="D346" s="45">
        <f>0.6*1000</f>
        <v>600</v>
      </c>
      <c r="E346" s="25"/>
      <c r="F346" s="45"/>
      <c r="G346" s="46"/>
      <c r="H346" s="46"/>
      <c r="I346" s="16"/>
      <c r="J346" s="51"/>
      <c r="K346" s="16"/>
      <c r="L346" s="16"/>
      <c r="M346" s="47"/>
    </row>
    <row r="347" spans="1:14" s="21" customFormat="1" ht="24" x14ac:dyDescent="0.25">
      <c r="A347" s="23"/>
      <c r="B347" s="24" t="s">
        <v>11</v>
      </c>
      <c r="C347" s="34" t="s">
        <v>219</v>
      </c>
      <c r="D347" s="45">
        <f>1.032662*1000</f>
        <v>1032.662</v>
      </c>
      <c r="E347" s="25"/>
      <c r="F347" s="45"/>
      <c r="G347" s="46"/>
      <c r="H347" s="46"/>
      <c r="I347" s="16"/>
      <c r="J347" s="51"/>
      <c r="K347" s="16"/>
      <c r="L347" s="16"/>
      <c r="M347" s="47"/>
    </row>
    <row r="348" spans="1:14" s="21" customFormat="1" x14ac:dyDescent="0.25">
      <c r="C348" s="15" t="s">
        <v>20</v>
      </c>
      <c r="D348" s="48">
        <f>SUM(D344:D347)</f>
        <v>2345.1090000000004</v>
      </c>
      <c r="E348" s="49"/>
      <c r="F348" s="49"/>
      <c r="G348" s="46"/>
      <c r="H348" s="46"/>
      <c r="J348" s="47"/>
      <c r="M348" s="47"/>
    </row>
    <row r="349" spans="1:14" s="21" customFormat="1" x14ac:dyDescent="0.25">
      <c r="A349" s="23"/>
      <c r="B349" s="22"/>
      <c r="C349" s="15"/>
      <c r="D349" s="25"/>
      <c r="E349" s="25"/>
      <c r="F349" s="25"/>
      <c r="G349" s="46"/>
      <c r="H349" s="46"/>
      <c r="M349" s="47"/>
    </row>
    <row r="350" spans="1:14" s="21" customFormat="1" x14ac:dyDescent="0.25">
      <c r="A350" s="12" t="s">
        <v>15</v>
      </c>
      <c r="B350" s="23"/>
      <c r="C350" s="22"/>
      <c r="D350" s="45"/>
      <c r="E350" s="25"/>
      <c r="F350" s="45"/>
      <c r="G350" s="46"/>
      <c r="H350" s="46"/>
      <c r="M350" s="47"/>
      <c r="N350" s="47"/>
    </row>
    <row r="351" spans="1:14" s="21" customFormat="1" ht="24" x14ac:dyDescent="0.25">
      <c r="A351" s="12"/>
      <c r="B351" s="23" t="s">
        <v>68</v>
      </c>
      <c r="C351" s="22" t="s">
        <v>140</v>
      </c>
      <c r="D351" s="45"/>
      <c r="E351" s="25"/>
      <c r="F351" s="45">
        <f>10*1000</f>
        <v>10000</v>
      </c>
      <c r="G351" s="46"/>
      <c r="H351" s="46"/>
      <c r="M351" s="47"/>
      <c r="N351" s="47"/>
    </row>
    <row r="352" spans="1:14" s="21" customFormat="1" ht="24" x14ac:dyDescent="0.25">
      <c r="A352" s="12"/>
      <c r="B352" s="23" t="s">
        <v>29</v>
      </c>
      <c r="C352" s="22" t="s">
        <v>141</v>
      </c>
      <c r="D352" s="45"/>
      <c r="E352" s="25"/>
      <c r="F352" s="45">
        <f>20*1000</f>
        <v>20000</v>
      </c>
      <c r="G352" s="46"/>
      <c r="H352" s="46"/>
      <c r="M352" s="47"/>
      <c r="N352" s="47"/>
    </row>
    <row r="353" spans="1:14" s="21" customFormat="1" x14ac:dyDescent="0.25">
      <c r="A353" s="12"/>
      <c r="B353" s="22" t="s">
        <v>135</v>
      </c>
      <c r="C353" s="22" t="s">
        <v>71</v>
      </c>
      <c r="D353" s="45"/>
      <c r="E353" s="25"/>
      <c r="F353" s="45">
        <f>5*1000</f>
        <v>5000</v>
      </c>
      <c r="G353" s="46"/>
      <c r="H353" s="46"/>
      <c r="M353" s="47"/>
      <c r="N353" s="47"/>
    </row>
    <row r="354" spans="1:14" s="21" customFormat="1" x14ac:dyDescent="0.25">
      <c r="A354" s="23"/>
      <c r="B354" s="22"/>
      <c r="C354" s="15" t="s">
        <v>20</v>
      </c>
      <c r="D354" s="25"/>
      <c r="E354" s="25"/>
      <c r="F354" s="48">
        <f>SUM(F351:F353)</f>
        <v>35000</v>
      </c>
      <c r="G354" s="46"/>
      <c r="H354" s="46"/>
      <c r="M354" s="47"/>
    </row>
    <row r="355" spans="1:14" s="21" customFormat="1" x14ac:dyDescent="0.25">
      <c r="A355" s="23"/>
      <c r="B355" s="22"/>
      <c r="C355" s="15"/>
      <c r="D355" s="25"/>
      <c r="E355" s="25"/>
      <c r="F355" s="49"/>
      <c r="G355" s="46"/>
      <c r="H355" s="46"/>
      <c r="M355" s="47"/>
    </row>
    <row r="356" spans="1:14" x14ac:dyDescent="0.2">
      <c r="A356" s="10"/>
      <c r="B356" s="28" t="s">
        <v>8</v>
      </c>
      <c r="C356" s="11"/>
      <c r="D356" s="19">
        <v>210777.84302999999</v>
      </c>
      <c r="E356" s="19"/>
      <c r="F356" s="19">
        <v>298574.67499999999</v>
      </c>
    </row>
    <row r="357" spans="1:14" ht="3.75" customHeight="1" x14ac:dyDescent="0.2"/>
    <row r="358" spans="1:14" s="30" customFormat="1" ht="42.75" customHeight="1" x14ac:dyDescent="0.25">
      <c r="A358" s="80" t="s">
        <v>136</v>
      </c>
      <c r="B358" s="80"/>
      <c r="C358" s="80"/>
      <c r="D358" s="80"/>
      <c r="E358" s="80"/>
      <c r="F358" s="80"/>
    </row>
    <row r="359" spans="1:14" s="30" customFormat="1" ht="12" customHeight="1" x14ac:dyDescent="0.25">
      <c r="A359" s="30" t="s">
        <v>31</v>
      </c>
      <c r="B359" s="31"/>
      <c r="C359" s="31"/>
      <c r="D359" s="32"/>
      <c r="E359" s="33"/>
      <c r="F359" s="33"/>
    </row>
    <row r="360" spans="1:14" s="30" customFormat="1" ht="12" customHeight="1" x14ac:dyDescent="0.25">
      <c r="A360" s="79" t="s">
        <v>42</v>
      </c>
      <c r="B360" s="79"/>
      <c r="C360" s="79"/>
      <c r="D360" s="79"/>
      <c r="E360" s="79"/>
      <c r="F360" s="79"/>
    </row>
    <row r="361" spans="1:14" s="30" customFormat="1" ht="12" customHeight="1" x14ac:dyDescent="0.25">
      <c r="A361" s="29" t="s">
        <v>64</v>
      </c>
      <c r="B361" s="31"/>
      <c r="C361" s="31"/>
      <c r="D361" s="32"/>
      <c r="E361" s="33"/>
      <c r="F361" s="33"/>
    </row>
    <row r="362" spans="1:14" s="30" customFormat="1" ht="12" customHeight="1" x14ac:dyDescent="0.25">
      <c r="A362" s="29" t="s">
        <v>251</v>
      </c>
      <c r="B362" s="31"/>
      <c r="C362" s="31"/>
      <c r="D362" s="32"/>
      <c r="E362" s="33"/>
      <c r="F362" s="33"/>
    </row>
  </sheetData>
  <mergeCells count="8">
    <mergeCell ref="C9:C10"/>
    <mergeCell ref="D9:F9"/>
    <mergeCell ref="A9:B10"/>
    <mergeCell ref="A360:F360"/>
    <mergeCell ref="A358:F358"/>
    <mergeCell ref="A83:C83"/>
    <mergeCell ref="A177:C177"/>
    <mergeCell ref="A224:C224"/>
  </mergeCells>
  <phoneticPr fontId="2" type="noConversion"/>
  <printOptions horizontalCentered="1"/>
  <pageMargins left="0.5" right="0.5" top="0.76076779026217201" bottom="0.76" header="0.3" footer="0.3"/>
  <pageSetup scale="98" fitToHeight="0" orientation="portrait" r:id="rId1"/>
  <headerFooter differentFirst="1">
    <oddHeader>&amp;L&amp;"Arial,Bold"&amp;8&amp;K000000Projects Involving Sovereign Grant Cofinancing  &amp;"Arial,Italic"continued</oddHeader>
    <oddFooter>&amp;C_x000D_&amp;1#&amp;"Calibri"&amp;8&amp;K000000 INTERNAL. This information is accessible to ADB Management and Staff. It may be shared outside ADB with appropriate permission.</oddFooter>
    <firstFooter>&amp;C_x000D_&amp;1#&amp;"Calibri"&amp;8&amp;K000000 INTERNAL. This information is accessible to ADB Management and Staff. It may be shared outside ADB with appropriate permission.</firstFooter>
  </headerFooter>
  <rowBreaks count="8" manualBreakCount="8">
    <brk id="42" max="16383" man="1"/>
    <brk id="82" max="16383" man="1"/>
    <brk id="118" max="16383" man="1"/>
    <brk id="149" max="16383" man="1"/>
    <brk id="227" max="16383" man="1"/>
    <brk id="262" max="16383" man="1"/>
    <brk id="302" max="16383" man="1"/>
    <brk id="344"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1fdd505-2570-46c2-bd04-3e0f2d874cf5" xsi:nil="true"/>
    <lcf76f155ced4ddcb4097134ff3c332f xmlns="2b4b9d8e-ecb2-49e1-a87e-51dfdfcaee7f">
      <Terms xmlns="http://schemas.microsoft.com/office/infopath/2007/PartnerControls"/>
    </lcf76f155ced4ddcb4097134ff3c332f>
    <Description0 xmlns="2b4b9d8e-ecb2-49e1-a87e-51dfdfcaee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F43F88-83E1-4413-ACE9-DF0C308C9D68}">
  <ds:schemaRefs>
    <ds:schemaRef ds:uri="http://schemas.microsoft.com/office/2006/metadata/properties"/>
    <ds:schemaRef ds:uri="http://purl.org/dc/dcmitype/"/>
    <ds:schemaRef ds:uri="2b4b9d8e-ecb2-49e1-a87e-51dfdfcaee7f"/>
    <ds:schemaRef ds:uri="http://schemas.microsoft.com/office/2006/documentManagement/types"/>
    <ds:schemaRef ds:uri="c1fdd505-2570-46c2-bd04-3e0f2d874cf5"/>
    <ds:schemaRef ds:uri="http://www.w3.org/XML/1998/namespace"/>
    <ds:schemaRef ds:uri="http://purl.org/dc/terms/"/>
    <ds:schemaRef ds:uri="b966b054-3674-4c4f-a2b0-6a3ffbe0790e"/>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4F0B7964-4906-4F3D-95E8-8B25229D68E1}">
  <ds:schemaRefs>
    <ds:schemaRef ds:uri="http://schemas.microsoft.com/sharepoint/v3/contenttype/forms"/>
  </ds:schemaRefs>
</ds:datastoreItem>
</file>

<file path=customXml/itemProps3.xml><?xml version="1.0" encoding="utf-8"?>
<ds:datastoreItem xmlns:ds="http://schemas.openxmlformats.org/officeDocument/2006/customXml" ds:itemID="{56E2BB22-74A4-4059-A4EC-381706F8E3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9d8e-ecb2-49e1-a87e-51dfdfcaee7f"/>
    <ds:schemaRef ds:uri="b966b054-3674-4c4f-a2b0-6a3ffbe0790e"/>
    <ds:schemaRef ds:uri="c1fdd505-2570-46c2-bd04-3e0f2d874c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Grants</vt:lpstr>
      <vt:lpstr>Grants!Print_Area</vt:lpstr>
      <vt:lpstr>Grants!Print_Titles</vt:lpstr>
    </vt:vector>
  </TitlesOfParts>
  <Company>Asian Development Bank</Company>
  <LinksUpToDate>false</LinksUpToDate>
  <SharedDoc>false</SharedDoc>
  <HyperlinkBase>www.adb.org/ar2012</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Projects Involving Sovereign Grant Cofinancing, 2024 ($ '000)</dc:title>
  <dc:subject>ADB Annual Report 2012</dc:subject>
  <dc:creator>Asian Development Bank</dc:creator>
  <cp:keywords>adb annual report 2024,  adb annual reports, adb operations 2023, adb operational data, australia, austria, canada, france, germany, japan, netherlands, new zealand, switzerland, united kingdom, united states, indonesia, kiribati, papua new guinea, tonga, tuvalu, bhutan, myanmar, georgia, philippines, bangladesh, kiribati, nauru, viet nam, agriculture, health, education, transport, energy, urban development, climate change, agriculture, gender, governance</cp:keywords>
  <cp:lastModifiedBy>Aldwin Thadeus S. Sutarez</cp:lastModifiedBy>
  <cp:lastPrinted>2025-04-04T03:05:22Z</cp:lastPrinted>
  <dcterms:created xsi:type="dcterms:W3CDTF">2013-01-07T02:15:48Z</dcterms:created>
  <dcterms:modified xsi:type="dcterms:W3CDTF">2025-04-14T10:42:18Z</dcterms:modified>
  <cp:category>This table presents ADB projects involving sovereign grant cofinancing, 2024.</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0x0101004C90B54C17B4C349AF9CAC9779232DC5</vt:lpwstr>
  </property>
  <property fmtid="{D5CDD505-2E9C-101B-9397-08002B2CF9AE}" pid="3" name="ia017ac09b1942648b563fe0b2b14d52">
    <vt:lpwstr>DCKD|21d5d440-b37e-457d-b680-97f45527681a</vt:lpwstr>
  </property>
  <property fmtid="{D5CDD505-2E9C-101B-9397-08002B2CF9AE}" pid="4" name="MSIP_Label_817d4574-7375-4d17-b29c-6e4c6df0fcb0_Enabled">
    <vt:lpwstr>true</vt:lpwstr>
  </property>
  <property fmtid="{D5CDD505-2E9C-101B-9397-08002B2CF9AE}" pid="5" name="MSIP_Label_817d4574-7375-4d17-b29c-6e4c6df0fcb0_SetDate">
    <vt:lpwstr>2025-04-14T10:42:17Z</vt:lpwstr>
  </property>
  <property fmtid="{D5CDD505-2E9C-101B-9397-08002B2CF9AE}" pid="6" name="MSIP_Label_817d4574-7375-4d17-b29c-6e4c6df0fcb0_Method">
    <vt:lpwstr>Standard</vt:lpwstr>
  </property>
  <property fmtid="{D5CDD505-2E9C-101B-9397-08002B2CF9AE}" pid="7" name="MSIP_Label_817d4574-7375-4d17-b29c-6e4c6df0fcb0_Name">
    <vt:lpwstr>ADB Internal</vt:lpwstr>
  </property>
  <property fmtid="{D5CDD505-2E9C-101B-9397-08002B2CF9AE}" pid="8" name="MSIP_Label_817d4574-7375-4d17-b29c-6e4c6df0fcb0_SiteId">
    <vt:lpwstr>9495d6bb-41c2-4c58-848f-92e52cf3d640</vt:lpwstr>
  </property>
  <property fmtid="{D5CDD505-2E9C-101B-9397-08002B2CF9AE}" pid="9" name="MSIP_Label_817d4574-7375-4d17-b29c-6e4c6df0fcb0_ActionId">
    <vt:lpwstr>8aa0c8e3-215e-43dd-aa31-911fe539f2df</vt:lpwstr>
  </property>
  <property fmtid="{D5CDD505-2E9C-101B-9397-08002B2CF9AE}" pid="10" name="MSIP_Label_817d4574-7375-4d17-b29c-6e4c6df0fcb0_ContentBits">
    <vt:lpwstr>2</vt:lpwstr>
  </property>
  <property fmtid="{D5CDD505-2E9C-101B-9397-08002B2CF9AE}" pid="11" name="MSIP_Label_817d4574-7375-4d17-b29c-6e4c6df0fcb0_Tag">
    <vt:lpwstr>10, 3, 0, 1</vt:lpwstr>
  </property>
  <property fmtid="{D5CDD505-2E9C-101B-9397-08002B2CF9AE}" pid="12" name="MediaServiceImageTags">
    <vt:lpwstr/>
  </property>
</Properties>
</file>