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2BB/Downloads/Country-level Results 2010-2023/"/>
    </mc:Choice>
  </mc:AlternateContent>
  <xr:revisionPtr revIDLastSave="0" documentId="13_ncr:1_{0EB10713-D61E-134A-9BF7-B18F97281190}" xr6:coauthVersionLast="47" xr6:coauthVersionMax="47" xr10:uidLastSave="{00000000-0000-0000-0000-000000000000}"/>
  <bookViews>
    <workbookView xWindow="0" yWindow="500" windowWidth="33600" windowHeight="19560" activeTab="6" xr2:uid="{00000000-000D-0000-FFFF-FFFF00000000}"/>
  </bookViews>
  <sheets>
    <sheet name="2010-2018" sheetId="1" r:id="rId1"/>
    <sheet name="2019" sheetId="2" r:id="rId2"/>
    <sheet name="2020" sheetId="4" r:id="rId3"/>
    <sheet name="2021" sheetId="5" r:id="rId4"/>
    <sheet name="2022" sheetId="7" r:id="rId5"/>
    <sheet name="2023" sheetId="9" r:id="rId6"/>
    <sheet name="2019-2023 Aggregate"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6" hidden="1">'2019-2023 Aggregate'!$A$204:$G$260</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7" i="8" l="1"/>
  <c r="C207" i="8"/>
  <c r="B208" i="8"/>
  <c r="C208" i="8"/>
  <c r="B209" i="8"/>
  <c r="C209" i="8"/>
  <c r="B210" i="8"/>
  <c r="C210" i="8"/>
  <c r="B211" i="8"/>
  <c r="C211" i="8"/>
  <c r="B213" i="8"/>
  <c r="C213" i="8"/>
  <c r="B214" i="8"/>
  <c r="C214" i="8"/>
  <c r="B215" i="8"/>
  <c r="C215" i="8"/>
  <c r="B216" i="8"/>
  <c r="C216" i="8"/>
  <c r="B217" i="8"/>
  <c r="C217" i="8"/>
  <c r="B218" i="8"/>
  <c r="C218" i="8"/>
  <c r="B219" i="8"/>
  <c r="C219" i="8"/>
  <c r="B220" i="8"/>
  <c r="C220" i="8"/>
  <c r="B221" i="8"/>
  <c r="C221" i="8"/>
  <c r="B222" i="8"/>
  <c r="C222" i="8"/>
  <c r="B223" i="8"/>
  <c r="C223" i="8"/>
  <c r="B224" i="8"/>
  <c r="C224" i="8"/>
  <c r="B225" i="8"/>
  <c r="C225" i="8"/>
  <c r="B227" i="8"/>
  <c r="C227" i="8"/>
  <c r="B228" i="8"/>
  <c r="C228" i="8"/>
  <c r="B229" i="8"/>
  <c r="C229" i="8"/>
  <c r="B230" i="8"/>
  <c r="C230" i="8"/>
  <c r="B231" i="8"/>
  <c r="C231" i="8"/>
  <c r="B232" i="8"/>
  <c r="C232" i="8"/>
  <c r="B233" i="8"/>
  <c r="C233" i="8"/>
  <c r="B234" i="8"/>
  <c r="C234" i="8"/>
  <c r="B235" i="8"/>
  <c r="C235" i="8"/>
  <c r="B236" i="8"/>
  <c r="C236" i="8"/>
  <c r="B237" i="8"/>
  <c r="C237" i="8"/>
  <c r="B238" i="8"/>
  <c r="C238" i="8"/>
  <c r="B240" i="8"/>
  <c r="C240" i="8"/>
  <c r="B241" i="8"/>
  <c r="C241" i="8"/>
  <c r="B242" i="8"/>
  <c r="C242" i="8"/>
  <c r="B243" i="8"/>
  <c r="C243" i="8"/>
  <c r="B244" i="8"/>
  <c r="C244" i="8"/>
  <c r="B245" i="8"/>
  <c r="C245" i="8"/>
  <c r="B246" i="8"/>
  <c r="C246" i="8"/>
  <c r="B247" i="8"/>
  <c r="C247" i="8"/>
  <c r="B249" i="8"/>
  <c r="C249" i="8"/>
  <c r="B250" i="8"/>
  <c r="C250" i="8"/>
  <c r="B251" i="8"/>
  <c r="C251" i="8"/>
  <c r="B253" i="8"/>
  <c r="C253" i="8"/>
  <c r="B254" i="8"/>
  <c r="C254" i="8"/>
  <c r="B255" i="8"/>
  <c r="C255" i="8"/>
  <c r="B256" i="8"/>
  <c r="C256" i="8"/>
  <c r="B257" i="8"/>
  <c r="C257" i="8"/>
  <c r="B258" i="8"/>
  <c r="C258" i="8"/>
  <c r="B259" i="8"/>
  <c r="C259" i="8"/>
  <c r="B260" i="8"/>
  <c r="C260" i="8"/>
  <c r="C206" i="8"/>
  <c r="B206" i="8"/>
  <c r="G206" i="8"/>
  <c r="G207" i="8"/>
  <c r="G208" i="8"/>
  <c r="G209" i="8"/>
  <c r="G210" i="8"/>
  <c r="G211" i="8"/>
  <c r="G213" i="8"/>
  <c r="G214" i="8"/>
  <c r="G215" i="8"/>
  <c r="G216" i="8"/>
  <c r="G217" i="8"/>
  <c r="G218" i="8"/>
  <c r="G219" i="8"/>
  <c r="G220" i="8"/>
  <c r="G221" i="8"/>
  <c r="G222" i="8"/>
  <c r="G223" i="8"/>
  <c r="G224" i="8"/>
  <c r="G225" i="8"/>
  <c r="G227" i="8"/>
  <c r="G228" i="8"/>
  <c r="G229" i="8"/>
  <c r="G230" i="8"/>
  <c r="G231" i="8"/>
  <c r="G232" i="8"/>
  <c r="G233" i="8"/>
  <c r="G234" i="8"/>
  <c r="G235" i="8"/>
  <c r="G236" i="8"/>
  <c r="G237" i="8"/>
  <c r="G238" i="8"/>
  <c r="G240" i="8"/>
  <c r="G241" i="8"/>
  <c r="G242" i="8"/>
  <c r="G243" i="8"/>
  <c r="G244" i="8"/>
  <c r="G245" i="8"/>
  <c r="G246" i="8"/>
  <c r="G247" i="8"/>
  <c r="G249" i="8"/>
  <c r="G250" i="8"/>
  <c r="G251" i="8"/>
  <c r="G253" i="8"/>
  <c r="G254" i="8"/>
  <c r="G255" i="8"/>
  <c r="G256" i="8"/>
  <c r="G257" i="8"/>
  <c r="G258" i="8"/>
  <c r="G259" i="8"/>
  <c r="G260" i="8"/>
  <c r="G147" i="8"/>
  <c r="G148" i="8"/>
  <c r="G154" i="8"/>
  <c r="G155" i="8"/>
  <c r="G157" i="8"/>
  <c r="G160" i="8"/>
  <c r="G162" i="8"/>
  <c r="G164" i="8"/>
  <c r="G167" i="8"/>
  <c r="G168" i="8"/>
  <c r="G170" i="8"/>
  <c r="G173" i="8"/>
  <c r="G174" i="8"/>
  <c r="G175" i="8"/>
  <c r="G178" i="8"/>
  <c r="G181" i="8"/>
  <c r="G184" i="8"/>
  <c r="G187" i="8"/>
  <c r="G189" i="8"/>
  <c r="G195" i="8"/>
  <c r="G196" i="8"/>
  <c r="G197" i="8"/>
  <c r="G200" i="8"/>
  <c r="G201" i="8"/>
  <c r="E172" i="8"/>
  <c r="E171" i="8"/>
  <c r="E169" i="8"/>
  <c r="E166" i="8"/>
  <c r="E143" i="8"/>
  <c r="E151" i="8"/>
  <c r="E156" i="8"/>
  <c r="D172" i="8"/>
  <c r="D171" i="8"/>
  <c r="D149" i="8"/>
  <c r="G149" i="8" s="1"/>
  <c r="D166" i="8"/>
  <c r="D198" i="8"/>
  <c r="G198" i="8" s="1"/>
  <c r="D194" i="8"/>
  <c r="G194" i="8" s="1"/>
  <c r="D183" i="8"/>
  <c r="G183" i="8" s="1"/>
  <c r="D182" i="8"/>
  <c r="G182" i="8" s="1"/>
  <c r="D158" i="8"/>
  <c r="G158" i="8" s="1"/>
  <c r="D156" i="8"/>
  <c r="D146" i="8"/>
  <c r="G146" i="8" s="1"/>
  <c r="D192" i="8"/>
  <c r="G192" i="8" s="1"/>
  <c r="D180" i="8"/>
  <c r="G180" i="8" s="1"/>
  <c r="D151" i="8"/>
  <c r="D142" i="8"/>
  <c r="G142" i="8" s="1"/>
  <c r="D193" i="8"/>
  <c r="G193" i="8" s="1"/>
  <c r="D176" i="8"/>
  <c r="G176" i="8" s="1"/>
  <c r="D161" i="8"/>
  <c r="G161" i="8" s="1"/>
  <c r="D145" i="8"/>
  <c r="G145" i="8" s="1"/>
  <c r="D152" i="8"/>
  <c r="G152" i="8" s="1"/>
  <c r="D188" i="8"/>
  <c r="G188" i="8" s="1"/>
  <c r="D186" i="8"/>
  <c r="G186" i="8" s="1"/>
  <c r="D143" i="8"/>
  <c r="D169" i="8"/>
  <c r="D159" i="8"/>
  <c r="G159" i="8" s="1"/>
  <c r="D191" i="8"/>
  <c r="G191" i="8" s="1"/>
  <c r="D153" i="8"/>
  <c r="G153" i="8" s="1"/>
  <c r="D177" i="8"/>
  <c r="G177" i="8" s="1"/>
  <c r="D144" i="8"/>
  <c r="G144" i="8" s="1"/>
  <c r="D163" i="8"/>
  <c r="G163" i="8" s="1"/>
  <c r="G172" i="8" l="1"/>
  <c r="G143" i="8"/>
  <c r="G166" i="8"/>
  <c r="G171" i="8"/>
  <c r="G169" i="8"/>
  <c r="G151" i="8"/>
  <c r="G156" i="8"/>
  <c r="D137" i="8"/>
  <c r="G137" i="8" s="1"/>
  <c r="D136" i="8"/>
  <c r="G136" i="8" s="1"/>
  <c r="D135" i="8"/>
  <c r="G135" i="8" s="1"/>
  <c r="G134" i="8"/>
  <c r="D133" i="8"/>
  <c r="G133" i="8" s="1"/>
  <c r="F132" i="8"/>
  <c r="D132" i="8"/>
  <c r="D131" i="8"/>
  <c r="G131" i="8" s="1"/>
  <c r="D130" i="8"/>
  <c r="G130" i="8" s="1"/>
  <c r="G128" i="8"/>
  <c r="G127" i="8"/>
  <c r="D126" i="8"/>
  <c r="G126" i="8" s="1"/>
  <c r="D125" i="8"/>
  <c r="G125" i="8" s="1"/>
  <c r="D123" i="8"/>
  <c r="G123" i="8" s="1"/>
  <c r="G122" i="8"/>
  <c r="D121" i="8"/>
  <c r="G121" i="8" s="1"/>
  <c r="D120" i="8"/>
  <c r="G120" i="8" s="1"/>
  <c r="D119" i="8"/>
  <c r="G119" i="8" s="1"/>
  <c r="G117" i="8"/>
  <c r="G116" i="8"/>
  <c r="G115" i="8"/>
  <c r="D114" i="8"/>
  <c r="G114" i="8" s="1"/>
  <c r="D113" i="8"/>
  <c r="G113" i="8" s="1"/>
  <c r="G112" i="8"/>
  <c r="G111" i="8"/>
  <c r="G110" i="8"/>
  <c r="G109" i="8"/>
  <c r="E108" i="8"/>
  <c r="G108" i="8" s="1"/>
  <c r="G107" i="8"/>
  <c r="G106" i="8"/>
  <c r="D105" i="8"/>
  <c r="G105" i="8" s="1"/>
  <c r="G104" i="8"/>
  <c r="E103" i="8"/>
  <c r="G103" i="8" s="1"/>
  <c r="D101" i="8"/>
  <c r="G101" i="8" s="1"/>
  <c r="G100" i="8"/>
  <c r="D99" i="8"/>
  <c r="G99" i="8" s="1"/>
  <c r="G98" i="8"/>
  <c r="G97" i="8"/>
  <c r="D96" i="8"/>
  <c r="G96" i="8" s="1"/>
  <c r="G95" i="8"/>
  <c r="D94" i="8"/>
  <c r="G94" i="8" s="1"/>
  <c r="G93" i="8"/>
  <c r="D92" i="8"/>
  <c r="G92" i="8" s="1"/>
  <c r="G90" i="8"/>
  <c r="G89" i="8"/>
  <c r="G88" i="8"/>
  <c r="D87" i="8"/>
  <c r="G87" i="8" s="1"/>
  <c r="D86" i="8"/>
  <c r="G86" i="8" s="1"/>
  <c r="E85" i="8"/>
  <c r="D85" i="8"/>
  <c r="G80" i="8"/>
  <c r="D79" i="8"/>
  <c r="G79" i="8" s="1"/>
  <c r="D78" i="8"/>
  <c r="G78" i="8" s="1"/>
  <c r="G77" i="8"/>
  <c r="D76" i="8"/>
  <c r="G76" i="8" s="1"/>
  <c r="D75" i="8"/>
  <c r="G75" i="8" s="1"/>
  <c r="D74" i="8"/>
  <c r="G74" i="8" s="1"/>
  <c r="D72" i="8"/>
  <c r="G72" i="8" s="1"/>
  <c r="D71" i="8"/>
  <c r="G71" i="8" s="1"/>
  <c r="D69" i="8"/>
  <c r="G69" i="8" s="1"/>
  <c r="G68" i="8"/>
  <c r="E66" i="8"/>
  <c r="G66" i="8" s="1"/>
  <c r="E65" i="8"/>
  <c r="D65" i="8"/>
  <c r="G63" i="8"/>
  <c r="G62" i="8"/>
  <c r="D61" i="8"/>
  <c r="G61" i="8" s="1"/>
  <c r="G60" i="8"/>
  <c r="G59" i="8"/>
  <c r="G58" i="8"/>
  <c r="D56" i="8"/>
  <c r="G56" i="8" s="1"/>
  <c r="G55" i="8"/>
  <c r="G54" i="8"/>
  <c r="D53" i="8"/>
  <c r="G53" i="8" s="1"/>
  <c r="G52" i="8"/>
  <c r="G47" i="8"/>
  <c r="F46" i="8"/>
  <c r="G46" i="8" s="1"/>
  <c r="D45" i="8"/>
  <c r="G45" i="8" s="1"/>
  <c r="G44" i="8"/>
  <c r="D42" i="8"/>
  <c r="G42" i="8" s="1"/>
  <c r="G41" i="8"/>
  <c r="D39" i="8"/>
  <c r="G39" i="8" s="1"/>
  <c r="G38" i="8"/>
  <c r="D37" i="8"/>
  <c r="G37" i="8" s="1"/>
  <c r="G36" i="8"/>
  <c r="D35" i="8"/>
  <c r="G35" i="8" s="1"/>
  <c r="D34" i="8"/>
  <c r="G34" i="8" s="1"/>
  <c r="D33" i="8"/>
  <c r="G33" i="8" s="1"/>
  <c r="G31" i="8"/>
  <c r="G30" i="8"/>
  <c r="G29" i="8"/>
  <c r="G28" i="8"/>
  <c r="D27" i="8"/>
  <c r="G27" i="8" s="1"/>
  <c r="G26" i="8"/>
  <c r="G25" i="8"/>
  <c r="D24" i="8"/>
  <c r="G24" i="8" s="1"/>
  <c r="G22" i="8"/>
  <c r="G21" i="8"/>
  <c r="G20" i="8"/>
  <c r="G19" i="8"/>
  <c r="D18" i="8"/>
  <c r="G18" i="8" s="1"/>
  <c r="G17" i="8"/>
  <c r="E16" i="8"/>
  <c r="G16" i="8" s="1"/>
  <c r="G15" i="8"/>
  <c r="G14" i="8"/>
  <c r="G13" i="8"/>
  <c r="G11" i="8"/>
  <c r="G10" i="8"/>
  <c r="G9" i="8"/>
  <c r="G8" i="8"/>
  <c r="D7" i="8"/>
  <c r="G7" i="8" s="1"/>
  <c r="G6" i="8"/>
  <c r="G85" i="8" l="1"/>
  <c r="G65" i="8"/>
  <c r="G132" i="8"/>
</calcChain>
</file>

<file path=xl/sharedStrings.xml><?xml version="1.0" encoding="utf-8"?>
<sst xmlns="http://schemas.openxmlformats.org/spreadsheetml/2006/main" count="2951" uniqueCount="524">
  <si>
    <t>INDIA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</si>
  <si>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</si>
  <si>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</si>
  <si>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</si>
  <si>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</si>
  <si>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</si>
  <si>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</si>
  <si>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</si>
  <si>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</si>
  <si>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</si>
  <si>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</si>
  <si>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</si>
  <si>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</si>
  <si>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</si>
  <si>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</si>
  <si>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</si>
  <si>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</si>
  <si>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</si>
  <si>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</si>
  <si>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</si>
  <si>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</si>
  <si>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</si>
  <si>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</si>
  <si>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</si>
  <si>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</si>
  <si>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</si>
  <si>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</si>
  <si>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</si>
  <si>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</si>
  <si>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</si>
  <si>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</si>
  <si>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</si>
  <si>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</si>
  <si>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</si>
  <si>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</si>
  <si>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</si>
  <si>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</si>
  <si>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</si>
  <si>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</si>
  <si>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</si>
  <si>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</si>
  <si>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</si>
  <si>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</si>
  <si>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</si>
  <si>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</si>
  <si>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</si>
  <si>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</si>
  <si>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</si>
  <si>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</si>
  <si>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</si>
  <si>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</si>
  <si>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</si>
  <si>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</si>
  <si>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</si>
  <si>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</si>
  <si>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</si>
  <si>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</si>
  <si>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</si>
  <si>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</si>
  <si>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</si>
  <si>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</si>
  <si>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</si>
  <si>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</si>
  <si>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</si>
  <si>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</si>
  <si>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</si>
  <si>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</si>
  <si>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</si>
  <si>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</si>
  <si>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</si>
  <si>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</si>
  <si>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</si>
  <si>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</si>
  <si>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</si>
  <si>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</si>
  <si>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</si>
  <si>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</si>
  <si>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</si>
  <si>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</si>
  <si>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</si>
  <si>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</si>
  <si>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</si>
  <si>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</si>
  <si>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</si>
  <si>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</si>
  <si>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</si>
  <si>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</si>
  <si>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2036/2037</t>
  </si>
  <si>
    <t>Assam Power Sector Development Program</t>
  </si>
  <si>
    <t>India</t>
  </si>
  <si>
    <t>SDP</t>
  </si>
  <si>
    <t>S</t>
  </si>
  <si>
    <t>OCR</t>
  </si>
  <si>
    <t>No</t>
  </si>
  <si>
    <t>Yes</t>
  </si>
  <si>
    <t>State Power Sector Reform Project</t>
  </si>
  <si>
    <t>Sector project</t>
  </si>
  <si>
    <t>SARA Fund</t>
  </si>
  <si>
    <t>Equity</t>
  </si>
  <si>
    <t>NS</t>
  </si>
  <si>
    <t>Infrastructure Development Finance Company, Ltd.</t>
  </si>
  <si>
    <t>Equity investment</t>
  </si>
  <si>
    <t>Infrastructure Development Finance Company</t>
  </si>
  <si>
    <t>Loan</t>
  </si>
  <si>
    <t>NA</t>
  </si>
  <si>
    <t>Madhya Pradesh State Roads Sector Development Program (Program)</t>
  </si>
  <si>
    <t>Program</t>
  </si>
  <si>
    <t>Madhya Pradesh State Roads Sector Development Program (Project)</t>
  </si>
  <si>
    <t>Sector Project</t>
  </si>
  <si>
    <t>Mumbai Port Project</t>
  </si>
  <si>
    <t>Project</t>
  </si>
  <si>
    <t xml:space="preserve">S </t>
  </si>
  <si>
    <t>Chennai Port Project</t>
  </si>
  <si>
    <t>Rural Roads Sector I Project</t>
  </si>
  <si>
    <t>Rajasthan Urban Infrastructure Development Project</t>
  </si>
  <si>
    <t>7253/2326</t>
  </si>
  <si>
    <t>Tata Power Wind Energy Financing Facility</t>
  </si>
  <si>
    <t xml:space="preserve">41900-014
 </t>
  </si>
  <si>
    <t>7245/2256</t>
  </si>
  <si>
    <t>Dahej Liquefied Natural Gas Terminal
Expansion Project</t>
  </si>
  <si>
    <t>39921-014</t>
  </si>
  <si>
    <t>Investment/ Loan</t>
  </si>
  <si>
    <t>7277/2417</t>
  </si>
  <si>
    <t>Gujarat Paguthan Wind Energy Financing Facility</t>
  </si>
  <si>
    <t>42902-014</t>
  </si>
  <si>
    <t>7277/2434</t>
  </si>
  <si>
    <t>CLP WIND FARMS PRIVATE LIMITED (CWFPL</t>
  </si>
  <si>
    <t>42902-024</t>
  </si>
  <si>
    <t>Urban Clean Fuels Project (CUGL)</t>
  </si>
  <si>
    <t>39913-014</t>
  </si>
  <si>
    <t>Equity Investment</t>
  </si>
  <si>
    <t>West Bengal Corridor Development Project</t>
  </si>
  <si>
    <t>32203-013</t>
  </si>
  <si>
    <t>East-West Corridor Project</t>
  </si>
  <si>
    <t>32253-013</t>
  </si>
  <si>
    <t>Rural Road Sector II Investment Program-Tranche 1</t>
  </si>
  <si>
    <t>37066-023</t>
  </si>
  <si>
    <t>MFF</t>
  </si>
  <si>
    <t>Rural Roads Sector II Investment Program (Project 2)- State of Orissa</t>
  </si>
  <si>
    <t>37066-033</t>
  </si>
  <si>
    <t>Karnataka Urban Development and Coastal Environmental Management Project</t>
  </si>
  <si>
    <t>30303-013</t>
  </si>
  <si>
    <t xml:space="preserve">Tsunami Emergency Assistance (Sector) </t>
  </si>
  <si>
    <t>39114-013</t>
  </si>
  <si>
    <t>G0005</t>
  </si>
  <si>
    <t>Others</t>
  </si>
  <si>
    <t>India Infrastructure Project Financing Facility (Tranche 1)</t>
  </si>
  <si>
    <t>40655-013</t>
  </si>
  <si>
    <t>India Infrastructure Project Financing Facility (Tranche 2)</t>
  </si>
  <si>
    <t>Madhya Pradesh Power Sector Investment Program (Tranche 1)</t>
  </si>
  <si>
    <t>32298-023</t>
  </si>
  <si>
    <t>MFF/ program</t>
  </si>
  <si>
    <t>2141/ 2142/ 2442</t>
  </si>
  <si>
    <t>Assam Governance and Public Resource Management Sector Development Program</t>
  </si>
  <si>
    <t>36308-013</t>
  </si>
  <si>
    <t>SDP - Program loan</t>
  </si>
  <si>
    <t>The Infrastructure Fund of India</t>
  </si>
  <si>
    <t>7242/2249</t>
  </si>
  <si>
    <t>NTPC Capacity Expansion Financing Facility</t>
  </si>
  <si>
    <t>39916-014</t>
  </si>
  <si>
    <t>Western Transport Corridor Project</t>
  </si>
  <si>
    <t>Chhattisgarh State Roads Development Sector Project</t>
  </si>
  <si>
    <t>Rural Cooperative Credit Restructuring and Development Program</t>
  </si>
  <si>
    <t>DFID, KfW</t>
  </si>
  <si>
    <t>UK, Germany</t>
  </si>
  <si>
    <t>Madhya Pradesh Power Sector Investment Program (Tranche 3)</t>
  </si>
  <si>
    <t>MFF/ project</t>
  </si>
  <si>
    <t>Rural Roads Sector II Investment Program (Project 4)</t>
  </si>
  <si>
    <t>2586/2717/2822</t>
  </si>
  <si>
    <t>Second India Infrastructure Project Financing Facility</t>
  </si>
  <si>
    <t>Chhattisgarh Irrigation Development Project</t>
  </si>
  <si>
    <t>37056-013</t>
  </si>
  <si>
    <t>2029/2527</t>
  </si>
  <si>
    <t>National Highway Corridor (Sector) I Project</t>
  </si>
  <si>
    <t>34420-013/ 34420-023</t>
  </si>
  <si>
    <t>1813/2293</t>
  </si>
  <si>
    <t>Kolkata Environmental Improvement Project</t>
  </si>
  <si>
    <t>29466-013/ 29466-023</t>
  </si>
  <si>
    <t>Madhya Pradesh State Roads Sector Project II</t>
  </si>
  <si>
    <t>37328-013</t>
  </si>
  <si>
    <t>North Karnataka Urban Sector Investment Program, Tranche 1</t>
  </si>
  <si>
    <t>38254-033</t>
  </si>
  <si>
    <t>West Bengal Development Finance Program</t>
  </si>
  <si>
    <t>44453-014</t>
  </si>
  <si>
    <t xml:space="preserve">Dahanu Solar Power Project </t>
  </si>
  <si>
    <t>45915-014</t>
  </si>
  <si>
    <t>2909/2910/2911</t>
  </si>
  <si>
    <t>145 Megawatts Grid-Connected Solar Project</t>
  </si>
  <si>
    <t>44932-04/44932-05/44935-06</t>
  </si>
  <si>
    <t>Madhya Pradesh Power Sector Investment Program (Tranche 2)</t>
  </si>
  <si>
    <t>32298-033</t>
  </si>
  <si>
    <t>MFF-Tranche</t>
  </si>
  <si>
    <t>Madhya Pradesh Power Sector Investment Program (Tranche 4)</t>
  </si>
  <si>
    <t>32298-053</t>
  </si>
  <si>
    <t>Multisector Project for Infrastructure Rehabilitation in Jammu and Kashmir</t>
  </si>
  <si>
    <t>38136-013</t>
  </si>
  <si>
    <t xml:space="preserve"> Project Loan</t>
  </si>
  <si>
    <t>Rural Roads Sector II Investment Program (Project 3)</t>
  </si>
  <si>
    <t>37066-043</t>
  </si>
  <si>
    <t>National Highway Sector II Project</t>
  </si>
  <si>
    <t>35335-013</t>
  </si>
  <si>
    <t>Sector Project Loan</t>
  </si>
  <si>
    <t>2046/2456</t>
  </si>
  <si>
    <t>Urban Water Supply and Environmental Improvement in Madhya Pradesh Project</t>
  </si>
  <si>
    <t>32254-013/32254-023</t>
  </si>
  <si>
    <t>Project Loan</t>
  </si>
  <si>
    <t>Power Grid Transmission (Sector) Project</t>
  </si>
  <si>
    <t>38492-013</t>
  </si>
  <si>
    <t>Sector project loan</t>
  </si>
  <si>
    <t>Regular OCR</t>
  </si>
  <si>
    <t>Uttarakhand State-Road Investment Program (Project 1)</t>
  </si>
  <si>
    <t>38255-023</t>
  </si>
  <si>
    <t>MFF-Tranche loan</t>
  </si>
  <si>
    <t>Rajasthan Urban Sector Development Investment Program (Tranche 1)</t>
  </si>
  <si>
    <t>40031-023</t>
  </si>
  <si>
    <t>Uttarakhand Power Sector Investment Program – Tranche 2</t>
  </si>
  <si>
    <t>37139-033</t>
  </si>
  <si>
    <t>Uttarakhand Power Sector Investment Program – Tranche 3</t>
  </si>
  <si>
    <t>37139-043</t>
  </si>
  <si>
    <t>Madhya Pradesh Power Sector Investment Program (Tranche 5)</t>
  </si>
  <si>
    <t>32298-063</t>
  </si>
  <si>
    <t>Small and Medium Enterprise Trade Finance Development Facility</t>
  </si>
  <si>
    <t>41930-014</t>
  </si>
  <si>
    <t>Project loan</t>
  </si>
  <si>
    <t>Agribusiness Infrastructure Development Investment Program (Tranche 2)</t>
  </si>
  <si>
    <t>37091-033</t>
  </si>
  <si>
    <t>2444/8240</t>
  </si>
  <si>
    <t>Orissa Integrated Irrigated Agriculture and Water Management Investment Program – Project 1</t>
  </si>
  <si>
    <t>38411-023</t>
  </si>
  <si>
    <t>OFID</t>
  </si>
  <si>
    <t>2536/2537</t>
  </si>
  <si>
    <t>Mizoram Public Resource Management Program</t>
  </si>
  <si>
    <t>41607-013</t>
  </si>
  <si>
    <t>Program loan</t>
  </si>
  <si>
    <t>Kerala Sustainable Urban Development Project</t>
  </si>
  <si>
    <t>32300-013</t>
  </si>
  <si>
    <t>-</t>
  </si>
  <si>
    <t>0044/2660</t>
  </si>
  <si>
    <t>National Capital Region Urban Infrastructure Financing Facility/Project 1</t>
  </si>
  <si>
    <t>41598-013/41598-023</t>
  </si>
  <si>
    <t>MFF/Project</t>
  </si>
  <si>
    <t>2651/0001</t>
  </si>
  <si>
    <t>Rural Roads Sector II Investment Program (Project 5 and MFF)</t>
  </si>
  <si>
    <t>37066-013/37066-063</t>
  </si>
  <si>
    <t>Bihar State Highways Project</t>
  </si>
  <si>
    <t>41127-013</t>
  </si>
  <si>
    <t>Micro, Small, and Medium Enterprise Development Project</t>
  </si>
  <si>
    <t>43158-013</t>
  </si>
  <si>
    <t>2732/0001</t>
  </si>
  <si>
    <t>Madhya Pradesh Power Sector Investment Program (Tranche 6 and MFF)</t>
  </si>
  <si>
    <t>32298-013/32298-073</t>
  </si>
  <si>
    <t>Senior Loan Axis Bank Limited Strengthening Rural Financial Inclusion and Farmer Access to Markets</t>
  </si>
  <si>
    <t>48278-001</t>
  </si>
  <si>
    <t>Baring India Private Equity Fund II</t>
  </si>
  <si>
    <t>38923-014</t>
  </si>
  <si>
    <t>IDFC Private Equity Fund II</t>
  </si>
  <si>
    <t>39915-014</t>
  </si>
  <si>
    <t>Blue River Capital I, LLC</t>
  </si>
  <si>
    <t>40901-014</t>
  </si>
  <si>
    <t xml:space="preserve">Low-Cost Affordable Housing Finance </t>
  </si>
  <si>
    <t>48234-001</t>
  </si>
  <si>
    <t>Strengthening Rural Financial Inclusion and Farmer Access to Markets: Axis Bank and Yes Bank</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</si>
  <si>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</si>
  <si>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</si>
  <si>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</si>
  <si>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</si>
  <si>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</si>
  <si>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</si>
  <si>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</si>
  <si>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</si>
  <si>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</si>
  <si>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</si>
  <si>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</si>
  <si>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</si>
  <si>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</si>
  <si>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</si>
  <si>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Madhya Pradesh State Roads Project III</t>
  </si>
  <si>
    <t>RFI</t>
  </si>
  <si>
    <t>Entities with improved urban planning and financial sustainability (number)</t>
  </si>
  <si>
    <t>2.3.2</t>
  </si>
  <si>
    <t>TI</t>
  </si>
  <si>
    <t>Measures on gender equality supported in implementation (number)</t>
  </si>
  <si>
    <t>3.2.5</t>
  </si>
  <si>
    <t>New and existing infrastructure assets made climate and disaster resilient (number)</t>
  </si>
  <si>
    <t>3.3.4</t>
  </si>
  <si>
    <t>Solutions to conserve, restore, and/or enhance terrestrial, coastal, and marine areas implemented (number) </t>
  </si>
  <si>
    <t>4.1.1</t>
  </si>
  <si>
    <t>Service providers with improved performance (number)</t>
  </si>
  <si>
    <t>6.2.1</t>
  </si>
  <si>
    <t>Service delivery standards adopted and/or supported in implementation by government and/or private entities (number)</t>
  </si>
  <si>
    <t>Rajasthan Urban Sector Development Investment Program - Tranche 2</t>
  </si>
  <si>
    <t>Poor and vulnerable people with improved standards of living (number)</t>
  </si>
  <si>
    <t>People benefiting from strengthened environmental sustainability (number)</t>
  </si>
  <si>
    <t>People benefiting from improved services in urban areas (number)</t>
  </si>
  <si>
    <t>Zones with improved urban environment, climate resilience, and disaster risk management (number) </t>
  </si>
  <si>
    <t>4.1.2</t>
  </si>
  <si>
    <t>Urban infrastructure assets established or improved (number)</t>
  </si>
  <si>
    <t>4.2.1</t>
  </si>
  <si>
    <t>Measures to improve regulatory, legal, and institutional environment for better planning supported in implementation (number)</t>
  </si>
  <si>
    <t>4.3.1</t>
  </si>
  <si>
    <t>Solutions to enhance urban environment implemented (number)</t>
  </si>
  <si>
    <t>Rajasthan Urban Sector Development Investment Program (Tranche 3 and Multitranche Financing Facility)</t>
  </si>
  <si>
    <t>Women and girls with increased time savings (number) </t>
  </si>
  <si>
    <t>Entities with improved service delivery (number) </t>
  </si>
  <si>
    <t>1.3.1</t>
  </si>
  <si>
    <t>Infrastructure assets established or improved (number)</t>
  </si>
  <si>
    <t>2.1.4</t>
  </si>
  <si>
    <t>Women and girls benefiting from new or improved infrastructure (number) </t>
  </si>
  <si>
    <t>2.4.1</t>
  </si>
  <si>
    <t>Time-saving or gender-responsive infrastructure assets and/or services established or improved (number)</t>
  </si>
  <si>
    <t>6.1.1</t>
  </si>
  <si>
    <t>Government officials with increased capacity to design, implement, monitor, and evaluate relevant measures (number)</t>
  </si>
  <si>
    <t>National Power Grid Development Investment Program (Tranches 1 and 2)</t>
  </si>
  <si>
    <t>3.1.4</t>
  </si>
  <si>
    <t>Installed renewable energy capacity (megawatts)</t>
  </si>
  <si>
    <t>5.1.1</t>
  </si>
  <si>
    <t>Rural infrastructure assets established or improved (number)</t>
  </si>
  <si>
    <t>Gujarat Solar Power Transmission Project</t>
  </si>
  <si>
    <t>Jobs generated (number)</t>
  </si>
  <si>
    <t>Total annual greenhouse gas emissions reduction (tCO2e/year) </t>
  </si>
  <si>
    <t>1.1.1</t>
  </si>
  <si>
    <t>People enrolled in improved education and/or training (number) </t>
  </si>
  <si>
    <t>2.1.1</t>
  </si>
  <si>
    <t>Women enrolled in TVET and other job training (number) </t>
  </si>
  <si>
    <t>2.2.1</t>
  </si>
  <si>
    <t>Women and girls enrolled in STEM or nontraditional TVET (number)</t>
  </si>
  <si>
    <t>3.1.3</t>
  </si>
  <si>
    <t>Low-carbon infrastructure assets established or improved (number)</t>
  </si>
  <si>
    <t>3.3.1</t>
  </si>
  <si>
    <t xml:space="preserve">Pollution control enhancing infrastructure assets established or improved (number) </t>
  </si>
  <si>
    <t>3.3.2</t>
  </si>
  <si>
    <t>Solutions to enhance pollution control and resource efficiency implemented (number) </t>
  </si>
  <si>
    <t>B. Nonsovereign operation</t>
  </si>
  <si>
    <t>PNB Housing Finance Limited Low-Cost Affordable Housing Finance</t>
  </si>
  <si>
    <t>Entities with improved management functions and financial stability (number) </t>
  </si>
  <si>
    <t>1.3.2</t>
  </si>
  <si>
    <t>New financial products and services made available to the poor and vulnerable (number) </t>
  </si>
  <si>
    <t>1.3.3</t>
  </si>
  <si>
    <t>Measures for increased inclusiveness supported in implementation (number)</t>
  </si>
  <si>
    <t>2.1.2</t>
  </si>
  <si>
    <t>Women opening new accounts (number) </t>
  </si>
  <si>
    <t xml:space="preserve">RBL Bank Limited Supporting Financial Inclusion Project </t>
  </si>
  <si>
    <t>Women and girls completing secondary and tertiary education, and/or other training (number)</t>
  </si>
  <si>
    <t>People benefiting from increased rural investment (number)</t>
  </si>
  <si>
    <t>2.1.3</t>
  </si>
  <si>
    <t>Women-owned or -led SME loan accounts opened or women-owned or -led SME end borrowers reached (number)</t>
  </si>
  <si>
    <t>2.2.3</t>
  </si>
  <si>
    <t>Solutions to prevent or address gender-based violence implemented (number) </t>
  </si>
  <si>
    <t xml:space="preserve">Welspun Renewables Energy Private Limited Solar and Wind Power Development Project </t>
  </si>
  <si>
    <t>C. Technical assistance</t>
  </si>
  <si>
    <t>Capacity Development for Project Implementation</t>
  </si>
  <si>
    <t>Multistate and Multisector Project Management Capacity Building</t>
  </si>
  <si>
    <t>2020 Development Effectiveness Review</t>
  </si>
  <si>
    <t>https://www.adb.org/documents/development-effectiveness-review-2020-report</t>
  </si>
  <si>
    <t>Assam Power Sector Enhancement Investment Program (Tranche 1)</t>
  </si>
  <si>
    <t>Assam Power Sector Enhancement Investment Program (Tranche 2)</t>
  </si>
  <si>
    <t>Assam Power Sector Enhancement Investment Program (Tranche 3)</t>
  </si>
  <si>
    <t>Clean Energy Finance Investment Program (Tranche 1)</t>
  </si>
  <si>
    <t>National Power Grid Development Investment Program (Tranche 3 and Multitranche Financing Facility)</t>
  </si>
  <si>
    <t>Punjab Development Finance Program</t>
  </si>
  <si>
    <t>6.1.4</t>
  </si>
  <si>
    <t>Transparency and accountability measures in procurement and financial management supported in implementation (number) </t>
  </si>
  <si>
    <t>6.2.2</t>
  </si>
  <si>
    <t>Measures supported in implementation to strengthen subnational entities' ability to better manage their public finances (number)</t>
  </si>
  <si>
    <t>Rural Connectivity Investment Program (Tranche 1)</t>
  </si>
  <si>
    <t>Skilled jobs for women generated (number) </t>
  </si>
  <si>
    <t>Women represented in decision-making structures and processes (number) </t>
  </si>
  <si>
    <t>Women and girls with increased resilience to climate change, disasters, and other external shocks (number) </t>
  </si>
  <si>
    <t>2.5.4</t>
  </si>
  <si>
    <t>Dedicated crisis-responding social assistance schemes for women and girls implemented or established (number) </t>
  </si>
  <si>
    <t>6.2.4</t>
  </si>
  <si>
    <t>Citizen engagement mechanisms adopted (number)</t>
  </si>
  <si>
    <t>Second West Bengal Development Finance Program</t>
  </si>
  <si>
    <t>1.1.2</t>
  </si>
  <si>
    <t>Health services established or improved (number) </t>
  </si>
  <si>
    <t>1.1.3</t>
  </si>
  <si>
    <t>Social protection schemes established or improved (number)</t>
  </si>
  <si>
    <t>6.1.2</t>
  </si>
  <si>
    <t>Measures supported in implementation to improve capacity of public organizations to promote the private sector and finance sector (number)</t>
  </si>
  <si>
    <t>Uttarakhand State-Road Investment Program (Project 2)</t>
  </si>
  <si>
    <t>Uttarakhand State-Road Investment Program (Project 3 and Multitranche Financing Facility)</t>
  </si>
  <si>
    <t>ACME-EDF Solar Power Project</t>
  </si>
  <si>
    <t>ReNew Power Ventures Private Limited ReNew Power Investment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</si>
  <si>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</si>
  <si>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</si>
  <si>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</si>
  <si>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</si>
  <si>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</si>
  <si>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</si>
  <si>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</si>
  <si>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</si>
  <si>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</si>
  <si>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</si>
  <si>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</si>
  <si>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</si>
  <si>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2021 Development Effectiveness Review</t>
  </si>
  <si>
    <t>https://www.adb.org/documents/development-effectiveness-review-2021-report</t>
  </si>
  <si>
    <t>Chhattisgarh State Road Sector Project</t>
  </si>
  <si>
    <t>Infrastructure Development Investment Program for Tourism—Tranche 1</t>
  </si>
  <si>
    <t>Infrastructure Development Investment Program for Tourism—Tranche 2</t>
  </si>
  <si>
    <t>Jammu and Kashmir Urban Sector Development Investment Program (Project 1)</t>
  </si>
  <si>
    <t>Jammu and Kashmir Urban Sector Development Investment Program (Project 2)</t>
  </si>
  <si>
    <t>3.2.1</t>
  </si>
  <si>
    <t>Area with reduced flood risk (hectares) </t>
  </si>
  <si>
    <t>Jammu and Kashmir Urban Sector Development Investment Program (Project 3 and Multitranche Financing Facility)</t>
  </si>
  <si>
    <t>Jharkhand State Roads Project</t>
  </si>
  <si>
    <t>Karnataka State Highway Improvement Project</t>
  </si>
  <si>
    <t>Khadi Reform and Development Program</t>
  </si>
  <si>
    <t>5.1.2</t>
  </si>
  <si>
    <t>Companies providing new or improved nonagricultural goods and services (number)</t>
  </si>
  <si>
    <t>Madhya Pradesh District Connectivity Sector Project</t>
  </si>
  <si>
    <t>North Eastern Region Capital Cities Development Investment Program (Project 1)</t>
  </si>
  <si>
    <t>Railway Sector Improvement Project</t>
  </si>
  <si>
    <t>Rural Connectivity Investment Program (Tranche 2)</t>
  </si>
  <si>
    <t>3.1.5</t>
  </si>
  <si>
    <t>Low-carbon solutions promoted and implemented (number) </t>
  </si>
  <si>
    <t>Sustainable Coastal Protection and Management Investment Program—Tranche 1</t>
  </si>
  <si>
    <t>People with strengthened climate and disaster resilience (number)</t>
  </si>
  <si>
    <t>3.3.3</t>
  </si>
  <si>
    <t>Terrestrial, coastal, and marine areas conserved, restored, and/or enhanced (hectares)</t>
  </si>
  <si>
    <t>Uttarakhand Emergency Assistance Project</t>
  </si>
  <si>
    <t>Uttarakhand Urban Sector Development Investment Program - Project 1</t>
  </si>
  <si>
    <t>Uttarakhand Urban Sector Development Investment Program - Tranche 2</t>
  </si>
  <si>
    <t>Au Financiers (India) LimitedExpanding Micro and SME Lending in Semi-Urban and Rural Areas Project</t>
  </si>
  <si>
    <t>Coastal Gujarat Power LimitedMundra Ultra Mega Power Project</t>
  </si>
  <si>
    <t>Hippocampus Learning Centres Pvt LtdRural Education Project</t>
  </si>
  <si>
    <t>5.1.3</t>
  </si>
  <si>
    <t>Health care, education, and financial services established or improved (number)</t>
  </si>
  <si>
    <t>IndusInd Bank LimitedSupporting Access to Finance for Women in Less-Developed States Project</t>
  </si>
  <si>
    <t>1.2.2</t>
  </si>
  <si>
    <t>Models for business development and financing established or improved (number)</t>
  </si>
  <si>
    <t>Ocean Sparkle LimitedOcean Sparkle Expansion Project</t>
  </si>
  <si>
    <t>Ostro Kutch Wind Private Limited Kutch Wind Project</t>
  </si>
  <si>
    <t>Rajasthan Sun Technique Energy Private Limited Rajasthan Concentrating Solar Power Project</t>
  </si>
  <si>
    <t>Simpa Networks Inc. and Simpa Energy India Private Limited Off-Grid Pay-As-You-Go Solar Power Project and Off-Grid Prepaid Solar Leasing Project</t>
  </si>
  <si>
    <t>Climate-Resilient Coastal Protection and Management Project</t>
  </si>
  <si>
    <t>3.1.2</t>
  </si>
  <si>
    <t>People with increased capacity in implementing mitigation and low-carbon development actions (number)</t>
  </si>
  <si>
    <t>3.2.2</t>
  </si>
  <si>
    <t>Gender-inclusive climate and disaster resilience capacity development initiatives implemented (number) </t>
  </si>
  <si>
    <t>3.2.4</t>
  </si>
  <si>
    <t>National and subnational disaster risk reduction and/or management plans supported in implementation (number) </t>
  </si>
  <si>
    <t>Supporting Public-Private Partnerships for Infrastructure Development</t>
  </si>
  <si>
    <t>2022 Development Effectiveness Review</t>
  </si>
  <si>
    <t>https://www.adb.org/documents/development-effectiveness-review-2022-report</t>
  </si>
  <si>
    <t>Assam Power Sector Enhancement Investment Program (Tranche 4 and Multitranche Financing Facility)</t>
  </si>
  <si>
    <t>Bihar Power System Improvement Project</t>
  </si>
  <si>
    <t>COVID-19 Active Response and Expenditure Support Program in India</t>
  </si>
  <si>
    <t>2.5.3</t>
  </si>
  <si>
    <t>6.1.3</t>
  </si>
  <si>
    <t>Himachal Pradesh Clean Energy Development Investment Program (Tranches 1 and 2)</t>
  </si>
  <si>
    <t>6.2.3</t>
  </si>
  <si>
    <t>Karnataka Integrated and Sustainable Water Resources Management Investment Program – Project 1</t>
  </si>
  <si>
    <t>Madhya Pradesh Energy Efficiency Improvement Investment Program - Tranche 1</t>
  </si>
  <si>
    <t>3.1.1</t>
  </si>
  <si>
    <t>Madhya Pradesh Energy Efficiency Improvement Investment Program - Tranche 2 and MFF</t>
  </si>
  <si>
    <t>2.3.1</t>
  </si>
  <si>
    <t xml:space="preserve">National Grid Improvement Project </t>
  </si>
  <si>
    <t>North Karnataka Urban Sector Investment Program - Tranche 3</t>
  </si>
  <si>
    <t>North Karnataka Urban Sector Investment Program (Tranche 2)</t>
  </si>
  <si>
    <t>4.2.2</t>
  </si>
  <si>
    <t>Orissa Integrated Irrigated Agriculture and Water Management Investment Program (Tranche 2 and Multitranche Financing Facility</t>
  </si>
  <si>
    <t>5.3.1</t>
  </si>
  <si>
    <t xml:space="preserve">Rajasthan Renewable Energy Transmission Investment Program (Tranche 1)
</t>
  </si>
  <si>
    <t>Rural Connectivity Investment Program (Tranche 3 and Multitranche Financing Facility)</t>
  </si>
  <si>
    <t>Second Jharkhand State Road Project</t>
  </si>
  <si>
    <t>Supporting Human Capital Development in Meghalaya</t>
  </si>
  <si>
    <t>Supporting National Urban Health Mission</t>
  </si>
  <si>
    <t>2.2.2</t>
  </si>
  <si>
    <t>Uttarakhand Power Sector Investment Program (Tranche 4 and Multitranche Financing Facility)</t>
  </si>
  <si>
    <t>Uttaranchal Power Sector Investment Program – Tranche 1</t>
  </si>
  <si>
    <t>People benefiting from improved health services, education services, or social protection (number)</t>
  </si>
  <si>
    <t>Regional public goods initiatives successfully reducing cross-border environmental or health risks, or providing regional access to education services (number) </t>
  </si>
  <si>
    <t>Savings and insurance schemes for women implemented or established (number)</t>
  </si>
  <si>
    <t>Measures supported in implementation that promote resilience and responsiveness to economic shocks in a timely manner (number) </t>
  </si>
  <si>
    <t>Measures to strengthen SOE governance supported in implementation (number)</t>
  </si>
  <si>
    <t>Additional climate finance mobilized ($) </t>
  </si>
  <si>
    <t>Women with strengthened leadership capacities (number)</t>
  </si>
  <si>
    <t>Measures to improve financial sustainability supported in implementation (number) </t>
  </si>
  <si>
    <t>Land with higher productivity (hectares)</t>
  </si>
  <si>
    <t>Land improved through climate-resilient irrigation infrastructure and water delivery services (hectares) </t>
  </si>
  <si>
    <t>Health services for women and girls established or improved (number)</t>
  </si>
  <si>
    <t>Avaada Energy Private Limited Avaada Solar Project and Avaada Solar Phase 2 Project</t>
  </si>
  <si>
    <t>India: Mytrah Wind and Solar Power Development Project</t>
  </si>
  <si>
    <t>Jana Small Finance Bank Limited</t>
  </si>
  <si>
    <t>ReNew Power Private Limited ReNew Power COVID-19 Liquidity Support Project</t>
  </si>
  <si>
    <t>2.5.1</t>
  </si>
  <si>
    <t>ReNew Power Ventures Private Limited ReNew Clean Energy Project</t>
  </si>
  <si>
    <t>Community-based initiatives to build resilience of women and girls to external shocks implemented (number)</t>
  </si>
  <si>
    <t>Strengthening Bridge Operation and Management Project</t>
  </si>
  <si>
    <t>Supporting the Preparation and Implementation of the Comprehensive Integrated Master Plan for the Vizag–Chennai Industrial Corridor</t>
  </si>
  <si>
    <t>1.2.1</t>
  </si>
  <si>
    <t>7.2.2</t>
  </si>
  <si>
    <t>Sustaining the Government of India-ADB Initiative for Mainstreaming Public-Private Partnerships</t>
  </si>
  <si>
    <t>Business development and financial sector measures supported in implementation (number) </t>
  </si>
  <si>
    <t xml:space="preserve">Measures to develop existing and/or new cross-border economic corridors supported in implementation (number)  </t>
  </si>
  <si>
    <t>OP 7: Fostering Regional Cooperation and Integration</t>
  </si>
  <si>
    <t>2023 Development Effectiveness Review</t>
  </si>
  <si>
    <t>Assam Integrated Flood and Riverbank Erosion Risk Management Investment Program (Tranches 1 and 2; and Multitranche Financing Facility)</t>
  </si>
  <si>
    <t>Assam Power Sector Investment Program - Tranche 1</t>
  </si>
  <si>
    <t>Assam Power Sector Investment Program - Tranche 2</t>
  </si>
  <si>
    <t>Bihar State Highways II Project</t>
  </si>
  <si>
    <t>Climate Adaptation in Vennar Subbasin in Cauvery Delta Project</t>
  </si>
  <si>
    <t>Green Energy Corridor and Grid Strengthening Project</t>
  </si>
  <si>
    <t>Jaipur Metro Rail Line 1-Phase B Project</t>
  </si>
  <si>
    <t>Madhya Pradesh Power Transmission and Distribution System Improvement Project</t>
  </si>
  <si>
    <t>North Eastern Region Capital Cities Development Investment Program - Tranche 2</t>
  </si>
  <si>
    <t>North Eastern State Roads Investment Program - Tranche 1</t>
  </si>
  <si>
    <t>Second Rural Connectivity Investment Program - Tranche 1</t>
  </si>
  <si>
    <t xml:space="preserve">Solar Transmission Sector Project </t>
  </si>
  <si>
    <t>Supporting Kerala's Additional Skill Acquisition Program in Post-Basic Education</t>
  </si>
  <si>
    <t>Sustainable Coastal Protection and Management Investment Program (Tranche 2 and Multitranche Financing Facility)</t>
  </si>
  <si>
    <t>2.5.2</t>
  </si>
  <si>
    <t>Uttar Pradesh Major District Roads Improvement Project</t>
  </si>
  <si>
    <t>IT and Capacity Building Support for Project Development and Management at the Department of Economic Affairs</t>
  </si>
  <si>
    <t>Supporting National Health Authority</t>
  </si>
  <si>
    <t>Cholamandalam Investment and Finance Company Limited Expanding Credit Delivery for Micro-, Small-, and Medium-Sized Enterprises Project</t>
  </si>
  <si>
    <t>Global Health Limited COVID-19 Hospital Service Delivery Project</t>
  </si>
  <si>
    <t>IDFC First Bank Expanding Micro, Small and Medium Enterprise Lending Project</t>
  </si>
  <si>
    <t>India Mortgage Guarantee Company</t>
  </si>
  <si>
    <t>Power Grid Corporation of India Limited Green Energy Corridor and Grid Strengthening Project</t>
  </si>
  <si>
    <t xml:space="preserve">Power Grid Corporation of India Limited National Grid Improvement Project </t>
  </si>
  <si>
    <t>Satin Creditcare Network Limited Supporting Access to Finance for Women in Lagging States Project</t>
  </si>
  <si>
    <t>Climate- and disaster-resilient infrastructure assets and/or services for women and girls established or improved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</si>
</sst>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_(* \(#,##0\);_(* &quot;-&quot;??_);_(@_)"/>
    <numFmt numFmtId="166" formatCode="[$-3409]dd\-mmm\-yy;@"/>
    <numFmt numFmtId="167" formatCode="0.0"/>
    <numFmt numFmtId="168" formatCode="[$-409]d\-mmm\-yy;@"/>
    <numFmt numFmtId="169" formatCode="#,##0.0"/>
    <numFmt numFmtId="170" formatCode="[$-409]dd\-mmm\-yy;@"/>
  </numFmts>
  <fonts count="30">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s>
  <fills count="17">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8">
    <xf numFmtId="0" fontId="0" fillId="0" borderId="0"/>
    <xf numFmtId="43" fontId="6" fillId="0" borderId="0" applyFon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xf numFmtId="0" fontId="4" fillId="0" borderId="0"/>
    <xf numFmtId="43" fontId="4" fillId="0" borderId="0" applyFont="0" applyFill="0" applyBorder="0" applyAlignment="0" applyProtection="0"/>
  </cellStyleXfs>
  <cellXfs count="204">
    <xf numFmtId="0" fontId="0" fillId="0" borderId="0" xfId="0"/>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wrapText="1"/>
    </xf>
    <xf numFmtId="165" fontId="8" fillId="2" borderId="0" xfId="1" applyNumberFormat="1" applyFont="1" applyFill="1"/>
    <xf numFmtId="0" fontId="8" fillId="2" borderId="0" xfId="1" applyNumberFormat="1" applyFont="1" applyFill="1"/>
    <xf numFmtId="165" fontId="8" fillId="2" borderId="0" xfId="1" applyNumberFormat="1" applyFont="1" applyFill="1" applyAlignment="1">
      <alignment horizontal="left"/>
    </xf>
    <xf numFmtId="165" fontId="8" fillId="2" borderId="0" xfId="1" applyNumberFormat="1" applyFont="1" applyFill="1" applyAlignment="1">
      <alignment horizontal="center"/>
    </xf>
    <xf numFmtId="165" fontId="8" fillId="2" borderId="0" xfId="1" applyNumberFormat="1" applyFont="1" applyFill="1" applyAlignment="1">
      <alignment horizontal="right"/>
    </xf>
    <xf numFmtId="3" fontId="7" fillId="0" borderId="1" xfId="0" applyNumberFormat="1" applyFont="1" applyBorder="1"/>
    <xf numFmtId="37" fontId="7" fillId="0" borderId="1" xfId="1" applyNumberFormat="1" applyFont="1" applyBorder="1"/>
    <xf numFmtId="37" fontId="7" fillId="0" borderId="1" xfId="1" applyNumberFormat="1" applyFont="1" applyFill="1" applyBorder="1" applyAlignment="1">
      <alignment horizontal="right"/>
    </xf>
    <xf numFmtId="0" fontId="7" fillId="0" borderId="1" xfId="0" applyFont="1" applyBorder="1" applyAlignment="1">
      <alignment horizontal="center"/>
    </xf>
    <xf numFmtId="1" fontId="9" fillId="0" borderId="1" xfId="1" applyNumberFormat="1" applyFont="1" applyBorder="1" applyAlignment="1">
      <alignment horizontal="left"/>
    </xf>
    <xf numFmtId="1" fontId="9" fillId="0" borderId="1" xfId="1" applyNumberFormat="1" applyFont="1" applyBorder="1" applyAlignment="1">
      <alignment horizontal="center"/>
    </xf>
    <xf numFmtId="1" fontId="9" fillId="0" borderId="1" xfId="1" applyNumberFormat="1" applyFont="1" applyBorder="1"/>
    <xf numFmtId="1" fontId="9" fillId="0" borderId="1" xfId="0" applyNumberFormat="1" applyFont="1" applyBorder="1"/>
    <xf numFmtId="0" fontId="9" fillId="0" borderId="1" xfId="0" applyFont="1" applyBorder="1" applyAlignment="1">
      <alignment horizontal="right" vertical="top"/>
    </xf>
    <xf numFmtId="0" fontId="9" fillId="0" borderId="1" xfId="0" applyFont="1" applyBorder="1" applyAlignment="1">
      <alignment horizontal="center" vertical="top"/>
    </xf>
    <xf numFmtId="166" fontId="9" fillId="0" borderId="1" xfId="0" applyNumberFormat="1" applyFont="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horizontal="left"/>
    </xf>
    <xf numFmtId="167" fontId="7" fillId="0" borderId="1" xfId="1" applyNumberFormat="1" applyFont="1" applyFill="1" applyBorder="1" applyAlignment="1">
      <alignment horizontal="right"/>
    </xf>
    <xf numFmtId="167" fontId="7" fillId="0" borderId="1" xfId="0" applyNumberFormat="1" applyFont="1" applyBorder="1" applyAlignment="1">
      <alignment horizontal="right"/>
    </xf>
    <xf numFmtId="167" fontId="7" fillId="0" borderId="1" xfId="0" applyNumberFormat="1" applyFont="1" applyBorder="1"/>
    <xf numFmtId="1" fontId="9" fillId="0" borderId="1" xfId="0" applyNumberFormat="1" applyFont="1" applyBorder="1" applyAlignment="1">
      <alignment horizontal="right"/>
    </xf>
    <xf numFmtId="168" fontId="11" fillId="0" borderId="1" xfId="2" applyNumberFormat="1" applyFont="1" applyBorder="1" applyAlignment="1">
      <alignment horizontal="center" vertical="top"/>
    </xf>
    <xf numFmtId="168" fontId="7" fillId="0" borderId="1" xfId="0" applyNumberFormat="1" applyFont="1" applyBorder="1" applyAlignment="1">
      <alignment horizontal="center"/>
    </xf>
    <xf numFmtId="168" fontId="7" fillId="3" borderId="1" xfId="3" applyNumberFormat="1" applyFont="1" applyFill="1" applyBorder="1" applyAlignment="1">
      <alignment horizontal="center"/>
    </xf>
    <xf numFmtId="168" fontId="11" fillId="3" borderId="1" xfId="2" applyNumberFormat="1" applyFont="1" applyFill="1" applyBorder="1" applyAlignment="1">
      <alignment horizontal="center" vertical="top"/>
    </xf>
    <xf numFmtId="168" fontId="11" fillId="3" borderId="1" xfId="4" applyNumberFormat="1" applyFont="1" applyFill="1" applyBorder="1" applyAlignment="1">
      <alignment horizontal="center"/>
    </xf>
    <xf numFmtId="15" fontId="11" fillId="3" borderId="1" xfId="4" applyNumberFormat="1" applyFont="1" applyFill="1" applyBorder="1" applyAlignment="1">
      <alignment horizontal="center"/>
    </xf>
    <xf numFmtId="15" fontId="7" fillId="3" borderId="1" xfId="3" applyNumberFormat="1" applyFont="1" applyFill="1" applyBorder="1" applyAlignment="1">
      <alignment horizontal="center"/>
    </xf>
    <xf numFmtId="3" fontId="9" fillId="0" borderId="1" xfId="1" applyNumberFormat="1" applyFont="1" applyBorder="1"/>
    <xf numFmtId="3" fontId="7" fillId="0" borderId="1" xfId="1" applyNumberFormat="1" applyFont="1" applyFill="1" applyBorder="1" applyAlignment="1">
      <alignment horizontal="right"/>
    </xf>
    <xf numFmtId="169" fontId="7" fillId="0" borderId="1" xfId="1" applyNumberFormat="1" applyFont="1" applyFill="1" applyBorder="1" applyAlignment="1">
      <alignment horizontal="center"/>
    </xf>
    <xf numFmtId="1" fontId="9" fillId="0" borderId="1" xfId="1" applyNumberFormat="1" applyFont="1" applyFill="1" applyBorder="1" applyAlignment="1">
      <alignment horizontal="left" vertical="top"/>
    </xf>
    <xf numFmtId="1" fontId="9" fillId="0" borderId="1" xfId="1" applyNumberFormat="1" applyFont="1" applyFill="1" applyBorder="1" applyAlignment="1">
      <alignment horizontal="center" vertical="top"/>
    </xf>
    <xf numFmtId="1" fontId="9" fillId="0" borderId="1" xfId="1" applyNumberFormat="1" applyFont="1" applyFill="1" applyBorder="1" applyAlignment="1">
      <alignment vertical="top"/>
    </xf>
    <xf numFmtId="1" fontId="9" fillId="0" borderId="1" xfId="1" applyNumberFormat="1" applyFont="1" applyBorder="1" applyAlignment="1"/>
    <xf numFmtId="1" fontId="9" fillId="0" borderId="1" xfId="1" applyNumberFormat="1" applyFont="1" applyFill="1" applyBorder="1" applyAlignment="1">
      <alignment vertical="center"/>
    </xf>
    <xf numFmtId="1" fontId="9" fillId="0" borderId="1" xfId="1" applyNumberFormat="1" applyFont="1" applyFill="1" applyBorder="1"/>
    <xf numFmtId="1" fontId="9" fillId="0" borderId="1" xfId="1" applyNumberFormat="1" applyFont="1" applyFill="1" applyBorder="1" applyAlignment="1">
      <alignment horizontal="right"/>
    </xf>
    <xf numFmtId="1" fontId="9" fillId="0" borderId="1" xfId="0" applyNumberFormat="1" applyFont="1" applyBorder="1" applyAlignment="1">
      <alignment vertical="center"/>
    </xf>
    <xf numFmtId="0" fontId="9" fillId="0" borderId="1" xfId="0" applyFont="1" applyBorder="1" applyAlignment="1">
      <alignment horizontal="right" vertical="center"/>
    </xf>
    <xf numFmtId="0" fontId="9" fillId="0" borderId="1" xfId="0" applyFont="1" applyBorder="1" applyAlignment="1">
      <alignment horizontal="center" vertical="center"/>
    </xf>
    <xf numFmtId="168" fontId="9" fillId="0" borderId="1" xfId="0" applyNumberFormat="1" applyFont="1" applyBorder="1" applyAlignment="1">
      <alignment horizontal="center" vertical="center"/>
    </xf>
    <xf numFmtId="15" fontId="9" fillId="0" borderId="1" xfId="0" quotePrefix="1" applyNumberFormat="1" applyFont="1" applyBorder="1" applyAlignment="1">
      <alignment horizontal="center" vertical="center"/>
    </xf>
    <xf numFmtId="15" fontId="9" fillId="0" borderId="1" xfId="0" applyNumberFormat="1" applyFont="1" applyBorder="1" applyAlignment="1">
      <alignment horizontal="center" vertical="center"/>
    </xf>
    <xf numFmtId="1" fontId="9" fillId="0" borderId="1" xfId="1" applyNumberFormat="1" applyFont="1" applyFill="1" applyBorder="1" applyAlignment="1"/>
    <xf numFmtId="0" fontId="9" fillId="0" borderId="1" xfId="0" applyFont="1" applyBorder="1" applyAlignment="1">
      <alignment horizontal="right"/>
    </xf>
    <xf numFmtId="15" fontId="9" fillId="0" borderId="1" xfId="0" applyNumberFormat="1" applyFont="1" applyBorder="1" applyAlignment="1">
      <alignment horizontal="center"/>
    </xf>
    <xf numFmtId="1" fontId="9" fillId="0" borderId="1" xfId="1" applyNumberFormat="1" applyFont="1" applyBorder="1" applyAlignment="1">
      <alignment horizontal="right"/>
    </xf>
    <xf numFmtId="1" fontId="9" fillId="0" borderId="1" xfId="0" applyNumberFormat="1" applyFont="1" applyBorder="1" applyAlignment="1">
      <alignment vertical="top"/>
    </xf>
    <xf numFmtId="15" fontId="9" fillId="0" borderId="1" xfId="0" applyNumberFormat="1" applyFont="1" applyBorder="1" applyAlignment="1">
      <alignment horizontal="center" vertical="top"/>
    </xf>
    <xf numFmtId="1" fontId="9" fillId="0" borderId="1" xfId="1" applyNumberFormat="1" applyFont="1" applyFill="1" applyBorder="1" applyAlignment="1">
      <alignment horizontal="left"/>
    </xf>
    <xf numFmtId="1" fontId="9" fillId="0" borderId="1" xfId="1" applyNumberFormat="1" applyFont="1" applyFill="1" applyBorder="1" applyAlignment="1">
      <alignment horizontal="center"/>
    </xf>
    <xf numFmtId="168" fontId="9" fillId="0" borderId="1" xfId="0" applyNumberFormat="1" applyFont="1" applyBorder="1" applyAlignment="1">
      <alignment horizontal="center"/>
    </xf>
    <xf numFmtId="170" fontId="9" fillId="0" borderId="1" xfId="0" applyNumberFormat="1" applyFont="1" applyBorder="1" applyAlignment="1">
      <alignment horizontal="center"/>
    </xf>
    <xf numFmtId="37" fontId="7" fillId="0" borderId="1" xfId="1" applyNumberFormat="1" applyFont="1" applyFill="1" applyBorder="1"/>
    <xf numFmtId="165" fontId="9" fillId="0" borderId="1" xfId="1" applyNumberFormat="1" applyFont="1" applyFill="1" applyBorder="1" applyAlignment="1">
      <alignment horizontal="left"/>
    </xf>
    <xf numFmtId="165" fontId="9" fillId="0" borderId="1" xfId="1" applyNumberFormat="1" applyFont="1" applyFill="1" applyBorder="1" applyAlignment="1">
      <alignment horizontal="center"/>
    </xf>
    <xf numFmtId="165" fontId="9" fillId="0" borderId="1" xfId="1" applyNumberFormat="1" applyFont="1" applyFill="1" applyBorder="1" applyAlignment="1">
      <alignment horizontal="right"/>
    </xf>
    <xf numFmtId="165" fontId="9" fillId="0" borderId="1" xfId="1" applyNumberFormat="1" applyFont="1" applyFill="1" applyBorder="1"/>
    <xf numFmtId="0" fontId="7" fillId="0" borderId="1" xfId="0" applyFont="1" applyBorder="1" applyAlignment="1">
      <alignment horizontal="right"/>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12"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alignment wrapText="1"/>
    </xf>
    <xf numFmtId="0" fontId="10" fillId="0" borderId="0" xfId="0" applyFont="1"/>
    <xf numFmtId="0" fontId="10" fillId="0" borderId="0" xfId="0" applyFont="1" applyAlignment="1">
      <alignment horizontal="right"/>
    </xf>
    <xf numFmtId="0" fontId="10" fillId="0" borderId="0" xfId="0" applyFont="1" applyAlignment="1">
      <alignment horizontal="left"/>
    </xf>
    <xf numFmtId="0" fontId="10" fillId="0" borderId="0" xfId="0" applyFont="1" applyAlignment="1">
      <alignment horizontal="center"/>
    </xf>
    <xf numFmtId="0" fontId="13" fillId="0" borderId="0" xfId="0" applyFont="1"/>
    <xf numFmtId="0" fontId="10" fillId="0" borderId="0" xfId="0" applyFont="1" applyAlignment="1">
      <alignment wrapText="1"/>
    </xf>
    <xf numFmtId="0" fontId="14" fillId="0" borderId="0" xfId="5" applyFill="1"/>
    <xf numFmtId="0" fontId="15" fillId="0" borderId="0" xfId="0" applyFont="1"/>
    <xf numFmtId="0" fontId="16" fillId="0" borderId="0" xfId="0" quotePrefix="1" applyFont="1"/>
    <xf numFmtId="0" fontId="17" fillId="0" borderId="0" xfId="0" applyFont="1"/>
    <xf numFmtId="0" fontId="19" fillId="0" borderId="0" xfId="6" applyFont="1"/>
    <xf numFmtId="0" fontId="19" fillId="0" borderId="0" xfId="6" applyFont="1" applyAlignment="1">
      <alignment wrapText="1"/>
    </xf>
    <xf numFmtId="165" fontId="19" fillId="0" borderId="0" xfId="7" applyNumberFormat="1" applyFont="1"/>
    <xf numFmtId="0" fontId="4" fillId="0" borderId="0" xfId="6"/>
    <xf numFmtId="0" fontId="20" fillId="0" borderId="0" xfId="6" applyFont="1" applyAlignment="1">
      <alignment vertical="center"/>
    </xf>
    <xf numFmtId="0" fontId="20" fillId="0" borderId="0" xfId="6" applyFont="1"/>
    <xf numFmtId="0" fontId="18" fillId="0" borderId="0" xfId="6" applyFont="1"/>
    <xf numFmtId="0" fontId="22" fillId="0" borderId="0" xfId="6" applyFont="1"/>
    <xf numFmtId="165" fontId="0" fillId="0" borderId="0" xfId="7" applyNumberFormat="1" applyFont="1"/>
    <xf numFmtId="0" fontId="23" fillId="0" borderId="0" xfId="0" applyFont="1"/>
    <xf numFmtId="0" fontId="24" fillId="0" borderId="0" xfId="5" applyFont="1" applyFill="1"/>
    <xf numFmtId="0" fontId="20" fillId="0" borderId="0" xfId="6" applyFont="1" applyAlignment="1">
      <alignment horizontal="left" vertical="top"/>
    </xf>
    <xf numFmtId="0" fontId="20" fillId="0" borderId="0" xfId="6" quotePrefix="1" applyFont="1" applyAlignment="1">
      <alignment horizontal="right" vertical="top" wrapText="1"/>
    </xf>
    <xf numFmtId="165" fontId="20" fillId="0" borderId="0" xfId="7" quotePrefix="1" applyNumberFormat="1" applyFont="1" applyBorder="1" applyAlignment="1">
      <alignment horizontal="right" vertical="top"/>
    </xf>
    <xf numFmtId="0" fontId="21" fillId="0" borderId="0" xfId="6" applyFont="1" applyAlignment="1">
      <alignment horizontal="left" vertical="top"/>
    </xf>
    <xf numFmtId="0" fontId="21" fillId="0" borderId="0" xfId="6" quotePrefix="1" applyFont="1" applyAlignment="1">
      <alignment vertical="top" wrapText="1"/>
    </xf>
    <xf numFmtId="165" fontId="21" fillId="0" borderId="0" xfId="7" quotePrefix="1" applyNumberFormat="1" applyFont="1" applyBorder="1" applyAlignment="1">
      <alignment vertical="top"/>
    </xf>
    <xf numFmtId="0" fontId="19" fillId="0" borderId="0" xfId="6" applyFont="1" applyAlignment="1">
      <alignment horizontal="left" vertical="top"/>
    </xf>
    <xf numFmtId="0" fontId="19" fillId="0" borderId="0" xfId="6" quotePrefix="1" applyFont="1" applyAlignment="1">
      <alignment vertical="top" wrapText="1"/>
    </xf>
    <xf numFmtId="165" fontId="19" fillId="0" borderId="0" xfId="7" quotePrefix="1" applyNumberFormat="1" applyFont="1" applyBorder="1" applyAlignment="1">
      <alignment vertical="top"/>
    </xf>
    <xf numFmtId="0" fontId="20" fillId="0" borderId="0" xfId="6" applyFont="1" applyAlignment="1">
      <alignment vertical="top" wrapText="1"/>
    </xf>
    <xf numFmtId="0" fontId="21" fillId="0" borderId="0" xfId="6" quotePrefix="1" applyFont="1" applyAlignment="1">
      <alignment horizontal="left" vertical="top"/>
    </xf>
    <xf numFmtId="0" fontId="19" fillId="0" borderId="0" xfId="6" applyFont="1" applyAlignment="1">
      <alignment vertical="top" wrapText="1"/>
    </xf>
    <xf numFmtId="165" fontId="19" fillId="0" borderId="0" xfId="7" applyNumberFormat="1" applyFont="1" applyBorder="1" applyAlignment="1">
      <alignment vertical="top"/>
    </xf>
    <xf numFmtId="0" fontId="19" fillId="0" borderId="0" xfId="6" quotePrefix="1" applyFont="1" applyAlignment="1">
      <alignment horizontal="left" vertical="top"/>
    </xf>
    <xf numFmtId="0" fontId="21" fillId="0" borderId="0" xfId="6" applyFont="1" applyAlignment="1">
      <alignment vertical="top" wrapText="1"/>
    </xf>
    <xf numFmtId="0" fontId="19" fillId="0" borderId="0" xfId="6" applyFont="1" applyAlignment="1">
      <alignment vertical="top"/>
    </xf>
    <xf numFmtId="0" fontId="19" fillId="13" borderId="0" xfId="6" applyFont="1" applyFill="1" applyAlignment="1">
      <alignment horizontal="center" vertical="top"/>
    </xf>
    <xf numFmtId="0" fontId="19" fillId="13" borderId="0" xfId="6" applyFont="1" applyFill="1" applyAlignment="1">
      <alignment horizontal="center" vertical="top" wrapText="1"/>
    </xf>
    <xf numFmtId="165" fontId="19" fillId="13" borderId="0" xfId="7" applyNumberFormat="1" applyFont="1" applyFill="1" applyBorder="1" applyAlignment="1">
      <alignment horizontal="center" vertical="top"/>
    </xf>
    <xf numFmtId="0" fontId="25" fillId="13" borderId="2" xfId="6" applyFont="1" applyFill="1" applyBorder="1" applyAlignment="1">
      <alignment horizontal="center" vertical="top"/>
    </xf>
    <xf numFmtId="0" fontId="25" fillId="13" borderId="3" xfId="6" applyFont="1" applyFill="1" applyBorder="1" applyAlignment="1">
      <alignment horizontal="center" vertical="top"/>
    </xf>
    <xf numFmtId="165" fontId="25" fillId="13" borderId="3" xfId="1" applyNumberFormat="1" applyFont="1" applyFill="1" applyBorder="1" applyAlignment="1">
      <alignment horizontal="center" vertical="top"/>
    </xf>
    <xf numFmtId="165" fontId="25" fillId="13" borderId="4" xfId="1" applyNumberFormat="1" applyFont="1" applyFill="1" applyBorder="1" applyAlignment="1">
      <alignment horizontal="center" vertical="top"/>
    </xf>
    <xf numFmtId="0" fontId="26" fillId="0" borderId="5" xfId="6" quotePrefix="1" applyFont="1" applyBorder="1" applyAlignment="1">
      <alignment horizontal="left" vertical="top"/>
    </xf>
    <xf numFmtId="165" fontId="26" fillId="0" borderId="0" xfId="1" quotePrefix="1" applyNumberFormat="1" applyFont="1" applyBorder="1" applyAlignment="1">
      <alignment horizontal="right" vertical="top"/>
    </xf>
    <xf numFmtId="165" fontId="19" fillId="0" borderId="0" xfId="1" applyNumberFormat="1" applyFont="1" applyBorder="1" applyAlignment="1">
      <alignment vertical="top"/>
    </xf>
    <xf numFmtId="165" fontId="19" fillId="0" borderId="0" xfId="1" quotePrefix="1" applyNumberFormat="1" applyFont="1" applyBorder="1" applyAlignment="1">
      <alignment horizontal="right" vertical="top"/>
    </xf>
    <xf numFmtId="165" fontId="19" fillId="14" borderId="6" xfId="1" applyNumberFormat="1" applyFont="1" applyFill="1" applyBorder="1" applyAlignment="1">
      <alignment horizontal="right" vertical="top" wrapText="1"/>
    </xf>
    <xf numFmtId="165" fontId="21" fillId="0" borderId="0" xfId="1" quotePrefix="1" applyNumberFormat="1" applyFont="1" applyBorder="1" applyAlignment="1">
      <alignment horizontal="right" vertical="top"/>
    </xf>
    <xf numFmtId="165" fontId="19" fillId="0" borderId="8" xfId="1" quotePrefix="1" applyNumberFormat="1" applyFont="1" applyBorder="1" applyAlignment="1">
      <alignment horizontal="right" vertical="top"/>
    </xf>
    <xf numFmtId="165" fontId="19" fillId="14" borderId="9" xfId="1" applyNumberFormat="1" applyFont="1" applyFill="1" applyBorder="1" applyAlignment="1">
      <alignment horizontal="right" vertical="top" wrapText="1"/>
    </xf>
    <xf numFmtId="165" fontId="19" fillId="0" borderId="0" xfId="7" quotePrefix="1" applyNumberFormat="1" applyFont="1" applyFill="1" applyBorder="1" applyAlignment="1">
      <alignment vertical="top"/>
    </xf>
    <xf numFmtId="165" fontId="21" fillId="0" borderId="0" xfId="7" quotePrefix="1" applyNumberFormat="1" applyFont="1" applyFill="1" applyBorder="1" applyAlignment="1">
      <alignment vertical="top"/>
    </xf>
    <xf numFmtId="165" fontId="20" fillId="0" borderId="0" xfId="7" quotePrefix="1" applyNumberFormat="1" applyFont="1" applyFill="1" applyBorder="1" applyAlignment="1">
      <alignment horizontal="right" vertical="top"/>
    </xf>
    <xf numFmtId="165" fontId="20" fillId="0" borderId="0" xfId="7" applyNumberFormat="1" applyFont="1" applyFill="1" applyBorder="1" applyAlignment="1">
      <alignment vertical="top"/>
    </xf>
    <xf numFmtId="165" fontId="19" fillId="0" borderId="0" xfId="7" applyNumberFormat="1" applyFont="1" applyFill="1" applyBorder="1" applyAlignment="1">
      <alignment vertical="top"/>
    </xf>
    <xf numFmtId="165" fontId="21" fillId="0" borderId="0" xfId="7" applyNumberFormat="1" applyFont="1" applyFill="1" applyBorder="1" applyAlignment="1">
      <alignment vertical="top"/>
    </xf>
    <xf numFmtId="0" fontId="26" fillId="0" borderId="0" xfId="6" applyFont="1" applyAlignment="1">
      <alignment horizontal="left" vertical="top"/>
    </xf>
    <xf numFmtId="0" fontId="26" fillId="0" borderId="0" xfId="6" applyFont="1" applyAlignment="1">
      <alignment vertical="top" wrapText="1"/>
    </xf>
    <xf numFmtId="165" fontId="27" fillId="0" borderId="0" xfId="7" applyNumberFormat="1" applyFont="1" applyBorder="1"/>
    <xf numFmtId="0" fontId="19" fillId="0" borderId="5" xfId="6" applyFont="1" applyBorder="1" applyAlignment="1">
      <alignment horizontal="left" vertical="top"/>
    </xf>
    <xf numFmtId="0" fontId="19" fillId="0" borderId="7" xfId="6" applyFont="1" applyBorder="1" applyAlignment="1">
      <alignment horizontal="left" vertical="top"/>
    </xf>
    <xf numFmtId="0" fontId="19" fillId="0" borderId="8" xfId="6" applyFont="1" applyBorder="1" applyAlignment="1">
      <alignment horizontal="left" vertical="top"/>
    </xf>
    <xf numFmtId="0" fontId="19" fillId="0" borderId="8" xfId="6" applyFont="1" applyBorder="1" applyAlignment="1">
      <alignment vertical="top" wrapText="1"/>
    </xf>
    <xf numFmtId="165" fontId="19" fillId="0" borderId="8" xfId="7" applyNumberFormat="1" applyFont="1" applyBorder="1" applyAlignment="1">
      <alignment vertical="top"/>
    </xf>
    <xf numFmtId="0" fontId="28" fillId="0" borderId="0" xfId="5" applyFont="1" applyFill="1"/>
    <xf numFmtId="165" fontId="19" fillId="0" borderId="0" xfId="1" applyNumberFormat="1" applyFont="1" applyFill="1" applyBorder="1" applyAlignment="1">
      <alignment vertical="top"/>
    </xf>
    <xf numFmtId="0" fontId="3" fillId="0" borderId="0" xfId="6" applyFont="1"/>
    <xf numFmtId="0" fontId="20" fillId="15" borderId="0" xfId="6" applyFont="1" applyFill="1" applyAlignment="1">
      <alignment horizontal="left" vertical="top"/>
    </xf>
    <xf numFmtId="0" fontId="20" fillId="15" borderId="0" xfId="6" applyFont="1" applyFill="1" applyAlignment="1">
      <alignment vertical="top" wrapText="1"/>
    </xf>
    <xf numFmtId="165" fontId="20" fillId="15" borderId="0" xfId="7" quotePrefix="1" applyNumberFormat="1" applyFont="1" applyFill="1" applyBorder="1" applyAlignment="1">
      <alignment horizontal="right" vertical="top"/>
    </xf>
    <xf numFmtId="165" fontId="19" fillId="0" borderId="0" xfId="7" quotePrefix="1" applyNumberFormat="1" applyFont="1" applyFill="1" applyBorder="1" applyAlignment="1">
      <alignment horizontal="right" vertical="top"/>
    </xf>
    <xf numFmtId="165" fontId="21" fillId="0" borderId="0" xfId="1" applyNumberFormat="1" applyFont="1" applyFill="1" applyBorder="1" applyAlignment="1">
      <alignment vertical="top"/>
    </xf>
    <xf numFmtId="0" fontId="29" fillId="0" borderId="0" xfId="0" applyFont="1" applyAlignment="1">
      <alignment horizontal="left"/>
    </xf>
    <xf numFmtId="165" fontId="19" fillId="0" borderId="0" xfId="1" quotePrefix="1" applyNumberFormat="1" applyFont="1" applyFill="1" applyBorder="1" applyAlignment="1">
      <alignment vertical="top"/>
    </xf>
    <xf numFmtId="165" fontId="21" fillId="0" borderId="0" xfId="1" quotePrefix="1" applyNumberFormat="1" applyFont="1" applyFill="1" applyBorder="1" applyAlignment="1">
      <alignment vertical="top"/>
    </xf>
    <xf numFmtId="37" fontId="19" fillId="0" borderId="0" xfId="1" quotePrefix="1" applyNumberFormat="1" applyFont="1" applyFill="1" applyBorder="1" applyAlignment="1">
      <alignment vertical="top"/>
    </xf>
    <xf numFmtId="165" fontId="27" fillId="0" borderId="0" xfId="7" quotePrefix="1" applyNumberFormat="1" applyFont="1" applyBorder="1" applyAlignment="1">
      <alignment horizontal="right" vertical="top"/>
    </xf>
    <xf numFmtId="165" fontId="27" fillId="0" borderId="0" xfId="7" applyNumberFormat="1" applyFont="1" applyBorder="1" applyAlignment="1">
      <alignment horizontal="right" vertical="top"/>
    </xf>
    <xf numFmtId="165" fontId="19" fillId="0" borderId="0" xfId="7" quotePrefix="1" applyNumberFormat="1" applyFont="1" applyBorder="1" applyAlignment="1">
      <alignment horizontal="right" vertical="top"/>
    </xf>
    <xf numFmtId="165" fontId="25" fillId="13" borderId="3" xfId="1" applyNumberFormat="1" applyFont="1" applyFill="1" applyBorder="1" applyAlignment="1">
      <alignment horizontal="right" vertical="top"/>
    </xf>
    <xf numFmtId="165" fontId="25" fillId="13" borderId="4" xfId="1" applyNumberFormat="1" applyFont="1" applyFill="1" applyBorder="1" applyAlignment="1">
      <alignment horizontal="right" vertical="top"/>
    </xf>
    <xf numFmtId="165" fontId="19" fillId="0" borderId="0" xfId="7" applyNumberFormat="1" applyFont="1" applyBorder="1" applyAlignment="1">
      <alignment horizontal="right" vertical="top"/>
    </xf>
    <xf numFmtId="165" fontId="19" fillId="0" borderId="0" xfId="1" applyNumberFormat="1" applyFont="1" applyBorder="1" applyAlignment="1">
      <alignment horizontal="right" vertical="top"/>
    </xf>
    <xf numFmtId="165" fontId="19" fillId="0" borderId="8" xfId="7" applyNumberFormat="1" applyFont="1" applyBorder="1" applyAlignment="1">
      <alignment horizontal="right" vertical="top"/>
    </xf>
    <xf numFmtId="0" fontId="19" fillId="0" borderId="0" xfId="6" applyFont="1" applyAlignment="1">
      <alignment horizontal="right" vertical="top"/>
    </xf>
    <xf numFmtId="0" fontId="2" fillId="0" borderId="0" xfId="6" quotePrefix="1" applyFont="1" applyAlignment="1">
      <alignment horizontal="right" vertical="top"/>
    </xf>
    <xf numFmtId="0" fontId="1" fillId="0" borderId="0" xfId="6" applyFont="1"/>
    <xf numFmtId="37" fontId="21" fillId="0" borderId="0" xfId="1" quotePrefix="1" applyNumberFormat="1" applyFont="1" applyFill="1" applyBorder="1" applyAlignment="1">
      <alignment vertical="top"/>
    </xf>
    <xf numFmtId="0" fontId="26" fillId="0" borderId="5" xfId="6" applyFont="1" applyBorder="1" applyAlignment="1">
      <alignment horizontal="left" vertical="top"/>
    </xf>
    <xf numFmtId="0" fontId="19" fillId="0" borderId="0" xfId="7" quotePrefix="1" applyNumberFormat="1" applyFont="1" applyBorder="1" applyAlignment="1">
      <alignment horizontal="right" vertical="top"/>
    </xf>
    <xf numFmtId="0" fontId="19" fillId="0" borderId="0" xfId="6" quotePrefix="1" applyFont="1" applyAlignment="1">
      <alignment horizontal="right" vertical="top"/>
    </xf>
    <xf numFmtId="165" fontId="10" fillId="0" borderId="0" xfId="7" applyNumberFormat="1" applyFont="1"/>
    <xf numFmtId="0" fontId="14" fillId="0" borderId="0" xfId="5"/>
    <xf numFmtId="0" fontId="20" fillId="16" borderId="0" xfId="6" applyFont="1" applyFill="1" applyAlignment="1">
      <alignment horizontal="left" vertical="top"/>
    </xf>
    <xf numFmtId="0" fontId="20" fillId="16" borderId="0" xfId="6" quotePrefix="1" applyFont="1" applyFill="1" applyAlignment="1">
      <alignment horizontal="right" vertical="top" wrapText="1"/>
    </xf>
    <xf numFmtId="0" fontId="20" fillId="16" borderId="0" xfId="6" applyFont="1" applyFill="1" applyAlignment="1">
      <alignment vertical="top" wrapText="1"/>
    </xf>
    <xf numFmtId="0" fontId="19" fillId="0" borderId="0" xfId="0" applyFont="1" applyAlignment="1">
      <alignment vertical="top" wrapText="1"/>
    </xf>
    <xf numFmtId="165" fontId="19" fillId="0" borderId="0" xfId="1" applyNumberFormat="1" applyFont="1"/>
    <xf numFmtId="165" fontId="19" fillId="13" borderId="0" xfId="1" applyNumberFormat="1" applyFont="1" applyFill="1" applyBorder="1" applyAlignment="1">
      <alignment horizontal="center" vertical="top"/>
    </xf>
    <xf numFmtId="165" fontId="20" fillId="16" borderId="0" xfId="1" quotePrefix="1" applyNumberFormat="1" applyFont="1" applyFill="1" applyBorder="1" applyAlignment="1">
      <alignment horizontal="right" vertical="top"/>
    </xf>
    <xf numFmtId="165" fontId="20" fillId="16" borderId="0" xfId="1" applyNumberFormat="1" applyFont="1" applyFill="1" applyBorder="1" applyAlignment="1">
      <alignment vertical="top"/>
    </xf>
    <xf numFmtId="165" fontId="19" fillId="0" borderId="0" xfId="1" applyNumberFormat="1" applyFont="1" applyFill="1" applyAlignment="1">
      <alignment horizontal="left" vertical="top"/>
    </xf>
    <xf numFmtId="165" fontId="10" fillId="0" borderId="0" xfId="1" applyNumberFormat="1" applyFont="1"/>
    <xf numFmtId="0" fontId="19" fillId="0" borderId="0" xfId="0" applyFont="1" applyAlignment="1">
      <alignment horizontal="left" indent="2"/>
    </xf>
    <xf numFmtId="0" fontId="21" fillId="0" borderId="0" xfId="0" applyFont="1" applyAlignment="1">
      <alignment horizontal="left" indent="1"/>
    </xf>
    <xf numFmtId="0" fontId="21" fillId="0" borderId="0" xfId="0" applyFont="1" applyAlignment="1">
      <alignment horizontal="left" vertical="top" indent="1"/>
    </xf>
    <xf numFmtId="0" fontId="20" fillId="0" borderId="10" xfId="0" applyFont="1" applyBorder="1"/>
    <xf numFmtId="0" fontId="19" fillId="0" borderId="5" xfId="0" applyFont="1" applyBorder="1" applyAlignment="1">
      <alignment horizontal="left" indent="1"/>
    </xf>
    <xf numFmtId="0" fontId="19" fillId="0" borderId="7" xfId="0" applyFont="1" applyBorder="1" applyAlignment="1">
      <alignment horizontal="left" indent="1"/>
    </xf>
    <xf numFmtId="165" fontId="19" fillId="0" borderId="0" xfId="1" applyNumberFormat="1" applyFont="1" applyBorder="1"/>
    <xf numFmtId="165" fontId="20" fillId="0" borderId="10" xfId="1" applyNumberFormat="1" applyFont="1" applyBorder="1"/>
    <xf numFmtId="165" fontId="19" fillId="0" borderId="8" xfId="1" applyNumberFormat="1" applyFont="1" applyBorder="1"/>
    <xf numFmtId="0" fontId="8" fillId="4" borderId="1" xfId="0" applyFont="1" applyFill="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8" fillId="7" borderId="1" xfId="0" applyFont="1" applyFill="1" applyBorder="1" applyAlignment="1">
      <alignment horizontal="center"/>
    </xf>
    <xf numFmtId="0" fontId="8" fillId="6" borderId="1" xfId="0" applyFont="1" applyFill="1" applyBorder="1" applyAlignment="1">
      <alignment horizontal="center"/>
    </xf>
    <xf numFmtId="0" fontId="8" fillId="5" borderId="1" xfId="0" applyFont="1" applyFill="1" applyBorder="1" applyAlignment="1">
      <alignment horizontal="center"/>
    </xf>
  </cellXfs>
  <cellStyles count="8">
    <cellStyle name="Comma" xfId="1" builtinId="3"/>
    <cellStyle name="Comma 2" xfId="7" xr:uid="{52F30844-1287-9044-B8FC-812047DE3D73}"/>
    <cellStyle name="Comma 6" xfId="4" xr:uid="{00000000-0005-0000-0000-000001000000}"/>
    <cellStyle name="Comma 7" xfId="3" xr:uid="{00000000-0005-0000-0000-000002000000}"/>
    <cellStyle name="Hyperlink" xfId="5" builtinId="8"/>
    <cellStyle name="Normal" xfId="0" builtinId="0"/>
    <cellStyle name="Normal 2" xfId="6" xr:uid="{1564724A-99CB-2D4E-A6F2-C5EBF748626E}"/>
    <cellStyle name="Normal 2 2 5" xfId="2" xr:uid="{00000000-0005-0000-0000-000005000000}"/>
  </cellStyles>
  <dxfs count="31">
    <dxf>
      <font>
        <strike val="0"/>
        <outline val="0"/>
        <shadow val="0"/>
        <u val="none"/>
        <vertAlign val="baseline"/>
        <sz val="10"/>
        <color theme="1"/>
        <name val="Calibri"/>
        <family val="2"/>
        <scheme val="minor"/>
      </font>
      <numFmt numFmtId="165" formatCode="_(* #,##0_);_(* \(#,##0\);_(* &quot;-&quot;??_);_(@_)"/>
      <fill>
        <patternFill patternType="solid">
          <fgColor indexed="64"/>
          <bgColor theme="0" tint="-0.14999847407452621"/>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fill>
        <patternFill patternType="solid">
          <fgColor indexed="64"/>
          <bgColor theme="0" tint="-0.14999847407452621"/>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fill>
        <patternFill patternType="solid">
          <fgColor indexed="64"/>
          <bgColor theme="0" tint="-0.14999847407452621"/>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family val="2"/>
      </font>
      <fill>
        <patternFill patternType="solid">
          <fgColor indexed="64"/>
          <bgColor theme="0" tint="-0.14999847407452621"/>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row r="4">
          <cell r="F4" t="str">
            <v>Indicator#</v>
          </cell>
          <cell r="G4" t="str">
            <v>RFI or TI</v>
          </cell>
          <cell r="H4" t="str">
            <v>Indicator Name</v>
          </cell>
        </row>
        <row r="5">
          <cell r="F5">
            <v>1.1000000000000001</v>
          </cell>
          <cell r="G5" t="str">
            <v>RFI</v>
          </cell>
          <cell r="H5" t="str">
            <v>People benefiting from improved health services, education services, or social protection (number)</v>
          </cell>
        </row>
        <row r="6">
          <cell r="F6">
            <v>1.2</v>
          </cell>
          <cell r="G6" t="str">
            <v>RFI</v>
          </cell>
          <cell r="H6" t="str">
            <v>Jobs generated (number)</v>
          </cell>
        </row>
        <row r="7">
          <cell r="F7">
            <v>1.3</v>
          </cell>
          <cell r="G7" t="str">
            <v>RFI</v>
          </cell>
          <cell r="H7" t="str">
            <v>Poor and vulnerable people with improved standards of living (number)</v>
          </cell>
        </row>
        <row r="8">
          <cell r="F8" t="str">
            <v>1.1.1</v>
          </cell>
          <cell r="G8" t="str">
            <v>TI</v>
          </cell>
          <cell r="H8" t="str">
            <v>People enrolled in improved education and/or training (number) </v>
          </cell>
        </row>
        <row r="9">
          <cell r="F9" t="str">
            <v>1.1.2</v>
          </cell>
          <cell r="G9" t="str">
            <v>TI</v>
          </cell>
          <cell r="H9" t="str">
            <v>Health services established or improved (number) </v>
          </cell>
        </row>
        <row r="10">
          <cell r="F10" t="str">
            <v>1.1.3</v>
          </cell>
          <cell r="G10" t="str">
            <v>TI</v>
          </cell>
          <cell r="H10" t="str">
            <v>Social protection schemes established or improved (number)</v>
          </cell>
        </row>
        <row r="11">
          <cell r="F11" t="str">
            <v>1.2.1</v>
          </cell>
          <cell r="G11" t="str">
            <v>TI</v>
          </cell>
          <cell r="H11" t="str">
            <v>Business development and financial sector measures supported in implementation (number) </v>
          </cell>
        </row>
        <row r="12">
          <cell r="F12" t="str">
            <v>1.2.2</v>
          </cell>
          <cell r="G12" t="str">
            <v>TI</v>
          </cell>
          <cell r="H12" t="str">
            <v>Models for business development and financing established or improved (number)</v>
          </cell>
        </row>
        <row r="13">
          <cell r="F13" t="str">
            <v>1.2.3</v>
          </cell>
          <cell r="G13" t="str">
            <v>TI</v>
          </cell>
          <cell r="H13" t="str">
            <v>Enhanced labor policies or standards implemented (number)</v>
          </cell>
        </row>
        <row r="14">
          <cell r="F14" t="str">
            <v>1.3.1</v>
          </cell>
          <cell r="G14" t="str">
            <v>TI</v>
          </cell>
          <cell r="H14" t="str">
            <v>Infrastructure assets established or improved (number)</v>
          </cell>
        </row>
        <row r="15">
          <cell r="F15" t="str">
            <v>1.3.2</v>
          </cell>
          <cell r="G15" t="str">
            <v>TI</v>
          </cell>
          <cell r="H15" t="str">
            <v>New financial products and services made available to the poor and vulnerable (number) </v>
          </cell>
        </row>
        <row r="16">
          <cell r="F16" t="str">
            <v>1.3.3</v>
          </cell>
          <cell r="G16" t="str">
            <v>TI</v>
          </cell>
          <cell r="H16" t="str">
            <v>Measures for increased inclusiveness supported in implementation (number)</v>
          </cell>
        </row>
        <row r="17">
          <cell r="F17">
            <v>2.1</v>
          </cell>
          <cell r="G17" t="str">
            <v>RFI</v>
          </cell>
          <cell r="H17" t="str">
            <v>Skilled jobs for women generated (number) </v>
          </cell>
        </row>
        <row r="18">
          <cell r="F18">
            <v>2.2000000000000002</v>
          </cell>
          <cell r="G18" t="str">
            <v>RFI</v>
          </cell>
          <cell r="H18" t="str">
            <v>Women and girls completing secondary and tertiary education, and/or other training (number)</v>
          </cell>
        </row>
        <row r="19">
          <cell r="F19">
            <v>2.2999999999999998</v>
          </cell>
          <cell r="G19" t="str">
            <v>RFI</v>
          </cell>
          <cell r="H19" t="str">
            <v>Women represented in decision-making structures and processes (number) </v>
          </cell>
        </row>
        <row r="20">
          <cell r="F20">
            <v>2.4</v>
          </cell>
          <cell r="G20" t="str">
            <v>RFI</v>
          </cell>
          <cell r="H20" t="str">
            <v>Women and girls with increased time savings (number) </v>
          </cell>
        </row>
        <row r="21">
          <cell r="F21">
            <v>2.5</v>
          </cell>
          <cell r="G21" t="str">
            <v>RFI</v>
          </cell>
          <cell r="H21" t="str">
            <v>Women and girls with increased resilience to climate change, disasters, and other external shocks (number) </v>
          </cell>
        </row>
        <row r="22">
          <cell r="F22" t="str">
            <v>2.1.1</v>
          </cell>
          <cell r="G22" t="str">
            <v>TI</v>
          </cell>
          <cell r="H22" t="str">
            <v>Women enrolled in TVET and other job training (number) </v>
          </cell>
        </row>
        <row r="23">
          <cell r="F23" t="str">
            <v>2.1.2</v>
          </cell>
          <cell r="G23" t="str">
            <v>TI</v>
          </cell>
          <cell r="H23" t="str">
            <v>Women opening new accounts (number) </v>
          </cell>
        </row>
        <row r="24">
          <cell r="F24" t="str">
            <v>2.1.3</v>
          </cell>
          <cell r="G24" t="str">
            <v>TI</v>
          </cell>
          <cell r="H24" t="str">
            <v>Women-owned or -led SME loan accounts opened or women-owned or -led SME end borrowers reached (number)</v>
          </cell>
        </row>
        <row r="25">
          <cell r="F25" t="str">
            <v>2.1.4</v>
          </cell>
          <cell r="G25" t="str">
            <v>TI</v>
          </cell>
          <cell r="H25" t="str">
            <v>Women and girls benefiting from new or improved infrastructure (number) </v>
          </cell>
        </row>
        <row r="26">
          <cell r="F26" t="str">
            <v>2.2.1</v>
          </cell>
          <cell r="G26" t="str">
            <v>TI</v>
          </cell>
          <cell r="H26" t="str">
            <v>Women and girls enrolled in STEM or nontraditional TVET (number)</v>
          </cell>
        </row>
        <row r="27">
          <cell r="F27" t="str">
            <v>2.2.2</v>
          </cell>
          <cell r="G27" t="str">
            <v>TI</v>
          </cell>
          <cell r="H27" t="str">
            <v>Health services for women and girls established or improved (number)</v>
          </cell>
        </row>
        <row r="28">
          <cell r="F28" t="str">
            <v>2.2.3</v>
          </cell>
          <cell r="G28" t="str">
            <v>TI</v>
          </cell>
          <cell r="H28" t="str">
            <v>Solutions to prevent or address gender-based violence implemented (number) </v>
          </cell>
        </row>
        <row r="29">
          <cell r="F29" t="str">
            <v>2.3.1</v>
          </cell>
          <cell r="G29" t="str">
            <v>TI</v>
          </cell>
          <cell r="H29" t="str">
            <v>Women with strengthened leadership capacities (number)</v>
          </cell>
        </row>
        <row r="30">
          <cell r="F30" t="str">
            <v>2.3.2</v>
          </cell>
          <cell r="G30" t="str">
            <v>TI</v>
          </cell>
          <cell r="H30" t="str">
            <v>Measures on gender equality supported in implementation (number)</v>
          </cell>
        </row>
        <row r="31">
          <cell r="F31" t="str">
            <v>2.4.1</v>
          </cell>
          <cell r="G31" t="str">
            <v>TI</v>
          </cell>
          <cell r="H31" t="str">
            <v>Time-saving or gender-responsive infrastructure assets and/or services established or improved (number)</v>
          </cell>
        </row>
        <row r="32">
          <cell r="F32" t="str">
            <v>2.4.2</v>
          </cell>
          <cell r="G32" t="str">
            <v>TI</v>
          </cell>
          <cell r="H32" t="str">
            <v>Child and elderly care services established or improved (number)</v>
          </cell>
        </row>
        <row r="33">
          <cell r="F33" t="str">
            <v>2.5.1</v>
          </cell>
          <cell r="G33" t="str">
            <v>TI</v>
          </cell>
          <cell r="H33" t="str">
            <v>Community-based initiatives to build resilience of women and girls to external shocks implemented (number)</v>
          </cell>
        </row>
        <row r="34">
          <cell r="F34" t="str">
            <v>2.5.2</v>
          </cell>
          <cell r="G34" t="str">
            <v>TI</v>
          </cell>
          <cell r="H34" t="str">
            <v>Climate- and disaster-resilient infrastructure assets and/or services for women and girls established or improved (number)</v>
          </cell>
        </row>
        <row r="35">
          <cell r="F35" t="str">
            <v>2.5.3</v>
          </cell>
          <cell r="G35" t="str">
            <v>TI</v>
          </cell>
          <cell r="H35" t="str">
            <v>Savings and insurance schemes for women implemented or established (number)</v>
          </cell>
        </row>
        <row r="36">
          <cell r="F36" t="str">
            <v>2.5.4</v>
          </cell>
          <cell r="G36" t="str">
            <v>TI</v>
          </cell>
          <cell r="H36" t="str">
            <v>Dedicated crisis-responding social assistance schemes for women and girls implemented or established (number) </v>
          </cell>
        </row>
        <row r="37">
          <cell r="F37">
            <v>3.1</v>
          </cell>
          <cell r="G37" t="str">
            <v>RFI</v>
          </cell>
          <cell r="H37" t="str">
            <v>Total annual greenhouse gas emissions reduction (tCO2e/year) </v>
          </cell>
        </row>
        <row r="38">
          <cell r="F38">
            <v>3.2</v>
          </cell>
          <cell r="G38" t="str">
            <v>RFI</v>
          </cell>
          <cell r="H38" t="str">
            <v>People with strengthened climate and disaster resilience (number)</v>
          </cell>
        </row>
        <row r="39">
          <cell r="F39">
            <v>3.3</v>
          </cell>
          <cell r="G39" t="str">
            <v>RFI</v>
          </cell>
          <cell r="H39" t="str">
            <v>People benefiting from strengthened environmental sustainability (number)</v>
          </cell>
        </row>
        <row r="40">
          <cell r="F40" t="str">
            <v>3.1.1</v>
          </cell>
          <cell r="G40" t="str">
            <v>TI</v>
          </cell>
          <cell r="H40" t="str">
            <v>Additional climate finance mobilized ($) </v>
          </cell>
        </row>
        <row r="41">
          <cell r="F41" t="str">
            <v>3.1.2</v>
          </cell>
          <cell r="G41" t="str">
            <v>TI</v>
          </cell>
          <cell r="H41" t="str">
            <v>People with increased capacity in implementing mitigation and low-carbon development actions (number)</v>
          </cell>
        </row>
        <row r="42">
          <cell r="F42" t="str">
            <v>3.1.3</v>
          </cell>
          <cell r="G42" t="str">
            <v>TI</v>
          </cell>
          <cell r="H42" t="str">
            <v>Low-carbon infrastructure assets established or improved (number)</v>
          </cell>
        </row>
        <row r="43">
          <cell r="F43" t="str">
            <v>3.1.4</v>
          </cell>
          <cell r="G43" t="str">
            <v>TI</v>
          </cell>
          <cell r="H43" t="str">
            <v>Installed renewable energy capacity (megawatts)</v>
          </cell>
        </row>
        <row r="44">
          <cell r="F44" t="str">
            <v>3.1.5</v>
          </cell>
          <cell r="G44" t="str">
            <v>TI</v>
          </cell>
          <cell r="H44" t="str">
            <v>Low-carbon solutions promoted and implemented (number) </v>
          </cell>
        </row>
        <row r="45">
          <cell r="F45" t="str">
            <v>3.2.1</v>
          </cell>
          <cell r="G45" t="str">
            <v>TI</v>
          </cell>
          <cell r="H45" t="str">
            <v>Area with reduced flood risk (hectares) </v>
          </cell>
        </row>
        <row r="46">
          <cell r="F46" t="str">
            <v>3.2.2</v>
          </cell>
          <cell r="G46" t="str">
            <v>TI</v>
          </cell>
          <cell r="H46" t="str">
            <v>Gender-inclusive climate and disaster resilience capacity development initiatives implemented (number) </v>
          </cell>
        </row>
        <row r="47">
          <cell r="F47" t="str">
            <v>3.2.3</v>
          </cell>
          <cell r="G47" t="str">
            <v>TI</v>
          </cell>
          <cell r="H47" t="str">
            <v>Financial preparedness instruments provided (number) </v>
          </cell>
        </row>
        <row r="48">
          <cell r="F48" t="str">
            <v>3.2.4</v>
          </cell>
          <cell r="G48" t="str">
            <v>TI</v>
          </cell>
          <cell r="H48" t="str">
            <v>National and subnational disaster risk reduction and/or management plans supported in implementation (number) </v>
          </cell>
        </row>
        <row r="49">
          <cell r="F49" t="str">
            <v>3.2.5</v>
          </cell>
          <cell r="G49" t="str">
            <v>TI</v>
          </cell>
          <cell r="H49" t="str">
            <v>New and existing infrastructure assets made climate and disaster resilient (number)</v>
          </cell>
        </row>
        <row r="50">
          <cell r="F50" t="str">
            <v>3.3.1</v>
          </cell>
          <cell r="G50" t="str">
            <v>TI</v>
          </cell>
          <cell r="H50" t="str">
            <v xml:space="preserve">Pollution control enhancing infrastructure assets established or improved (number) </v>
          </cell>
        </row>
        <row r="51">
          <cell r="F51" t="str">
            <v>3.3.2</v>
          </cell>
          <cell r="G51" t="str">
            <v>TI</v>
          </cell>
          <cell r="H51" t="str">
            <v>Solutions to enhance pollution control and resource efficiency implemented (number) </v>
          </cell>
        </row>
        <row r="52">
          <cell r="F52" t="str">
            <v>3.3.3</v>
          </cell>
          <cell r="G52" t="str">
            <v>TI</v>
          </cell>
          <cell r="H52" t="str">
            <v>Terrestrial, coastal, and marine areas conserved, restored, and/or enhanced (hectares)</v>
          </cell>
        </row>
        <row r="53">
          <cell r="F53" t="str">
            <v>3.3.4</v>
          </cell>
          <cell r="G53" t="str">
            <v>TI</v>
          </cell>
          <cell r="H53" t="str">
            <v>Solutions to conserve, restore, and/or enhance terrestrial, coastal, and marine areas implemented (number) </v>
          </cell>
        </row>
        <row r="54">
          <cell r="F54" t="str">
            <v>3.3.5</v>
          </cell>
          <cell r="G54" t="str">
            <v>TI</v>
          </cell>
          <cell r="H54" t="str">
            <v>Sustainable water–food–energy security nexus solutions implemented (number) </v>
          </cell>
        </row>
        <row r="55">
          <cell r="F55">
            <v>4.0999999999999996</v>
          </cell>
          <cell r="G55" t="str">
            <v>RFI</v>
          </cell>
          <cell r="H55" t="str">
            <v>People benefiting from improved services in urban areas (number)</v>
          </cell>
        </row>
        <row r="56">
          <cell r="F56">
            <v>4.2</v>
          </cell>
          <cell r="G56" t="str">
            <v>RFI</v>
          </cell>
          <cell r="H56" t="str">
            <v>Entities with improved urban planning and financial sustainability (number)</v>
          </cell>
        </row>
        <row r="57">
          <cell r="F57">
            <v>4.3</v>
          </cell>
          <cell r="G57" t="str">
            <v>RFI</v>
          </cell>
          <cell r="H57" t="str">
            <v>Zones with improved urban environment, climate resilience, and disaster risk management (number) </v>
          </cell>
        </row>
        <row r="58">
          <cell r="F58" t="str">
            <v>4.1.1</v>
          </cell>
          <cell r="G58" t="str">
            <v>TI</v>
          </cell>
          <cell r="H58" t="str">
            <v>Service providers with improved performance (number)</v>
          </cell>
        </row>
        <row r="59">
          <cell r="F59" t="str">
            <v>4.1.2</v>
          </cell>
          <cell r="G59" t="str">
            <v>TI</v>
          </cell>
          <cell r="H59" t="str">
            <v>Urban infrastructure assets established or improved (number)</v>
          </cell>
        </row>
        <row r="60">
          <cell r="F60" t="str">
            <v>4.2.1</v>
          </cell>
          <cell r="G60" t="str">
            <v>TI</v>
          </cell>
          <cell r="H60" t="str">
            <v>Measures to improve regulatory, legal, and institutional environment for better planning supported in implementation (number)</v>
          </cell>
        </row>
        <row r="61">
          <cell r="F61" t="str">
            <v>4.2.2</v>
          </cell>
          <cell r="G61" t="str">
            <v>TI</v>
          </cell>
          <cell r="H61" t="str">
            <v>Measures to improve financial sustainability supported in implementation (number) </v>
          </cell>
        </row>
        <row r="62">
          <cell r="F62" t="str">
            <v>4.3.1</v>
          </cell>
          <cell r="G62" t="str">
            <v>TI</v>
          </cell>
          <cell r="H62" t="str">
            <v>Solutions to enhance urban environment implemented (number)</v>
          </cell>
        </row>
        <row r="63">
          <cell r="F63" t="str">
            <v>4.3.2</v>
          </cell>
          <cell r="G63" t="str">
            <v>TI</v>
          </cell>
          <cell r="H63" t="str">
            <v>Urban climate and disaster resilience capacity development initiatives implemented (number)</v>
          </cell>
        </row>
        <row r="64">
          <cell r="F64">
            <v>5.0999999999999996</v>
          </cell>
          <cell r="G64" t="str">
            <v>RFI</v>
          </cell>
          <cell r="H64" t="str">
            <v>People benefiting from increased rural investment (number)</v>
          </cell>
        </row>
        <row r="65">
          <cell r="F65">
            <v>5.2</v>
          </cell>
          <cell r="G65" t="str">
            <v>RFI</v>
          </cell>
          <cell r="H65" t="str">
            <v>Farmers with improved market access (number)</v>
          </cell>
        </row>
        <row r="66">
          <cell r="F66">
            <v>5.3</v>
          </cell>
          <cell r="G66" t="str">
            <v>RFI</v>
          </cell>
          <cell r="H66" t="str">
            <v>Land with higher productivity (hectares)</v>
          </cell>
        </row>
        <row r="67">
          <cell r="F67" t="str">
            <v>5.1.1</v>
          </cell>
          <cell r="G67" t="str">
            <v>TI</v>
          </cell>
          <cell r="H67" t="str">
            <v>Rural infrastructure assets established or improved (number)</v>
          </cell>
        </row>
        <row r="68">
          <cell r="F68" t="str">
            <v>5.1.2</v>
          </cell>
          <cell r="G68" t="str">
            <v>TI</v>
          </cell>
          <cell r="H68" t="str">
            <v>Companies providing new or improved nonagricultural goods and services (number)</v>
          </cell>
        </row>
        <row r="69">
          <cell r="F69" t="str">
            <v>5.1.3</v>
          </cell>
          <cell r="G69" t="str">
            <v>TI</v>
          </cell>
          <cell r="H69" t="str">
            <v>Health care, education, and financial services established or improved (number)</v>
          </cell>
        </row>
        <row r="70">
          <cell r="F70" t="str">
            <v>5.1.4</v>
          </cell>
          <cell r="G70" t="str">
            <v>TI</v>
          </cell>
          <cell r="H70" t="str">
            <v>Rural economic hubs supported (number)</v>
          </cell>
        </row>
        <row r="71">
          <cell r="F71" t="str">
            <v>5.2.1</v>
          </cell>
          <cell r="G71" t="str">
            <v>TI</v>
          </cell>
          <cell r="H71" t="str">
            <v>Wholesale markets established or improved (number)</v>
          </cell>
        </row>
        <row r="72">
          <cell r="F72" t="str">
            <v>5.2.2</v>
          </cell>
          <cell r="G72" t="str">
            <v>TI</v>
          </cell>
          <cell r="H72" t="str">
            <v>Storages, agri-logistics, and modern retail assets established or improved (number)</v>
          </cell>
        </row>
        <row r="73">
          <cell r="F73" t="str">
            <v>5.2.3</v>
          </cell>
          <cell r="G73" t="str">
            <v>TI</v>
          </cell>
          <cell r="H73" t="str">
            <v>Agribusinesses integrating farmers in efficient value chains (number)</v>
          </cell>
        </row>
        <row r="74">
          <cell r="F74" t="str">
            <v>5.2.4</v>
          </cell>
          <cell r="G74" t="str">
            <v>TI</v>
          </cell>
          <cell r="H74" t="str">
            <v xml:space="preserve"> Food safety and traceability standards improved (number)</v>
          </cell>
        </row>
        <row r="75">
          <cell r="F75" t="str">
            <v>5.3.1</v>
          </cell>
          <cell r="G75" t="str">
            <v>TI</v>
          </cell>
          <cell r="H75" t="str">
            <v>Land improved through climate-resilient irrigation infrastructure and water delivery services (hectares) </v>
          </cell>
        </row>
        <row r="76">
          <cell r="F76" t="str">
            <v>5.3.2</v>
          </cell>
          <cell r="G76" t="str">
            <v>TI</v>
          </cell>
          <cell r="H76" t="str">
            <v>Farmers using quality farm inputs and sustainable mechanization (number)</v>
          </cell>
        </row>
        <row r="77">
          <cell r="F77" t="str">
            <v>5.3.3</v>
          </cell>
          <cell r="G77" t="str">
            <v>TI</v>
          </cell>
          <cell r="H77" t="str">
            <v>Commercial farming land supported (hectares)</v>
          </cell>
        </row>
        <row r="78">
          <cell r="F78" t="str">
            <v>5.3.4</v>
          </cell>
          <cell r="G78" t="str">
            <v>TI</v>
          </cell>
          <cell r="H78" t="str">
            <v>Modern knowledge-intensive corporate farming models introduced (number)</v>
          </cell>
        </row>
        <row r="79">
          <cell r="F79">
            <v>6.1</v>
          </cell>
          <cell r="G79" t="str">
            <v>RFI</v>
          </cell>
          <cell r="H79" t="str">
            <v>Entities with improved management functions and financial stability (number) </v>
          </cell>
        </row>
        <row r="80">
          <cell r="F80">
            <v>6.2</v>
          </cell>
          <cell r="G80" t="str">
            <v>RFI</v>
          </cell>
          <cell r="H80" t="str">
            <v>Entities with improved service delivery (number) </v>
          </cell>
        </row>
        <row r="81">
          <cell r="F81" t="str">
            <v>6.1.1</v>
          </cell>
          <cell r="G81" t="str">
            <v>TI</v>
          </cell>
          <cell r="H81" t="str">
            <v>Government officials with increased capacity to design, implement, monitor, and evaluate relevant measures (number)</v>
          </cell>
        </row>
        <row r="82">
          <cell r="F82" t="str">
            <v>6.1.2</v>
          </cell>
          <cell r="G82" t="str">
            <v>TI</v>
          </cell>
          <cell r="H82" t="str">
            <v>Measures supported in implementation to improve capacity of public organizations to promote the private sector and finance sector (number)</v>
          </cell>
        </row>
        <row r="83">
          <cell r="F83" t="str">
            <v>6.1.3</v>
          </cell>
          <cell r="G83" t="str">
            <v>TI</v>
          </cell>
          <cell r="H83" t="str">
            <v>Measures supported in implementation that promote resilience and responsiveness to economic shocks in a timely manner (number) </v>
          </cell>
        </row>
        <row r="84">
          <cell r="F84" t="str">
            <v>6.1.4</v>
          </cell>
          <cell r="G84" t="str">
            <v>TI</v>
          </cell>
          <cell r="H84" t="str">
            <v>Transparency and accountability measures in procurement and financial management supported in implementation (number) </v>
          </cell>
        </row>
        <row r="85">
          <cell r="F85" t="str">
            <v>6.2.1</v>
          </cell>
          <cell r="G85" t="str">
            <v>TI</v>
          </cell>
          <cell r="H85" t="str">
            <v>Service delivery standards adopted and/or supported in implementation by government and/or private entities (number)</v>
          </cell>
        </row>
        <row r="86">
          <cell r="F86" t="str">
            <v>6.2.2</v>
          </cell>
          <cell r="G86" t="str">
            <v>TI</v>
          </cell>
          <cell r="H86" t="str">
            <v>Measures supported in implementation to strengthen subnational entities' ability to better manage their public finances (number)</v>
          </cell>
        </row>
        <row r="87">
          <cell r="F87" t="str">
            <v>6.2.3</v>
          </cell>
          <cell r="G87" t="str">
            <v>TI</v>
          </cell>
          <cell r="H87" t="str">
            <v>Measures to strengthen SOE governance supported in implementation (number)</v>
          </cell>
        </row>
        <row r="88">
          <cell r="F88" t="str">
            <v>6.2.4</v>
          </cell>
          <cell r="G88" t="str">
            <v>TI</v>
          </cell>
          <cell r="H88" t="str">
            <v>Citizen engagement mechanisms adopted (number)</v>
          </cell>
        </row>
        <row r="89">
          <cell r="F89">
            <v>7.1</v>
          </cell>
          <cell r="G89" t="str">
            <v>RFI</v>
          </cell>
          <cell r="H89" t="str">
            <v>Cargo transported and energy transmitted across borders ($) </v>
          </cell>
        </row>
        <row r="90">
          <cell r="F90">
            <v>7.2</v>
          </cell>
          <cell r="G90" t="str">
            <v>RFI</v>
          </cell>
          <cell r="H90" t="str">
            <v>Trade and investment facilitated ($) </v>
          </cell>
        </row>
        <row r="91">
          <cell r="F91">
            <v>7.3</v>
          </cell>
          <cell r="G91" t="str">
            <v>RFI</v>
          </cell>
          <cell r="H91" t="str">
            <v>Regional public goods initiatives successfully reducing cross-border environmental or health risks, or providing regional access to education services (number) </v>
          </cell>
        </row>
        <row r="92">
          <cell r="F92" t="str">
            <v>7.1.1</v>
          </cell>
          <cell r="G92" t="str">
            <v>TI</v>
          </cell>
          <cell r="H92" t="str">
            <v>Transport and ICT connectivity assets established or improved (number)</v>
          </cell>
        </row>
        <row r="93">
          <cell r="F93" t="str">
            <v>7.1.2</v>
          </cell>
          <cell r="G93" t="str">
            <v>TI</v>
          </cell>
          <cell r="H93" t="str">
            <v>Measures to improve the efficiency and/or productivity of cross-border connectivity supported in implementation (number) </v>
          </cell>
        </row>
        <row r="94">
          <cell r="F94" t="str">
            <v>7.1.3</v>
          </cell>
          <cell r="G94" t="str">
            <v>TI</v>
          </cell>
          <cell r="H94" t="str">
            <v>Clean energy capacity for power trade installed or improved (megawatt equivalent)</v>
          </cell>
        </row>
        <row r="95">
          <cell r="F95" t="str">
            <v>7.1.4</v>
          </cell>
          <cell r="G95" t="str">
            <v>TI</v>
          </cell>
          <cell r="H95" t="str">
            <v>Regional or subregional mechanisms created or operationalized to enhance coordination and cooperation among DMCs in energy, transport, or ICT connectivity (number)</v>
          </cell>
        </row>
        <row r="96">
          <cell r="F96" t="str">
            <v>7.2.1</v>
          </cell>
          <cell r="G96" t="str">
            <v>TI</v>
          </cell>
          <cell r="H96" t="str">
            <v>Measures to improve execution of provisions in existing or new trade or investment agreements supported in implementation (number)</v>
          </cell>
        </row>
        <row r="97">
          <cell r="F97" t="str">
            <v>7.2.2</v>
          </cell>
          <cell r="G97" t="str">
            <v>TI</v>
          </cell>
          <cell r="H97" t="str">
            <v xml:space="preserve">Measures to develop existing and/or new cross-border economic corridors supported in implementation (number)  </v>
          </cell>
        </row>
        <row r="98">
          <cell r="F98" t="str">
            <v>7.2.3</v>
          </cell>
          <cell r="G98" t="str">
            <v>TI</v>
          </cell>
          <cell r="H98" t="str">
            <v>Measures to improve regional financial cooperation supported in implementation (number)</v>
          </cell>
        </row>
        <row r="99">
          <cell r="F99" t="str">
            <v>7.2.4</v>
          </cell>
          <cell r="G99" t="str">
            <v>TI</v>
          </cell>
          <cell r="H99" t="str">
            <v>Regional or subregional mechanisms created or operationalized to enhance coordination and cooperation among DMCs in trade, finance, or multisector economic corridors (number)</v>
          </cell>
        </row>
        <row r="100">
          <cell r="F100" t="str">
            <v>7.3.1</v>
          </cell>
          <cell r="G100" t="str">
            <v>TI</v>
          </cell>
          <cell r="H100" t="str">
            <v>Measures to improve shared capacity of DMCs to mitigate or adapt to climate change supported in implementation (number)</v>
          </cell>
        </row>
        <row r="101">
          <cell r="F101" t="str">
            <v>7.3.2</v>
          </cell>
          <cell r="G101" t="str">
            <v>TI</v>
          </cell>
          <cell r="H101" t="str">
            <v>Measures to expand cross-border environmental protection and sustainable management of shared natural resources supported in implementation (number)</v>
          </cell>
        </row>
        <row r="102">
          <cell r="F102" t="str">
            <v>7.3.3</v>
          </cell>
          <cell r="G102" t="str">
            <v>TI</v>
          </cell>
          <cell r="H102" t="str">
            <v>Measures to improve regional public health and education services supported in implementation (number)</v>
          </cell>
        </row>
        <row r="103">
          <cell r="F103" t="str">
            <v>7.3.4</v>
          </cell>
          <cell r="G103" t="str">
            <v>TI</v>
          </cell>
          <cell r="H103" t="str">
            <v>Regional or subregional mechanisms created or operationalized to enhance coordination and cooperation among DMCs on regional public goods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7B8B69-0E67-CA49-AACF-9FD200CAE1C5}" name="Table136789101112" displayName="Table136789101112" ref="A6:D76" totalsRowShown="0" headerRowDxfId="30" tableBorderDxfId="29">
  <tableColumns count="4">
    <tableColumn id="1" xr3:uid="{A11C93AF-D2E6-EB41-82E7-D0C03E686674}" name="Indicator no." dataDxfId="28"/>
    <tableColumn id="5" xr3:uid="{2F6C2324-C443-AD47-A4EF-1AF9F4154688}" name="Type" dataDxfId="27"/>
    <tableColumn id="2" xr3:uid="{883AA60E-A50E-7A45-9D83-1C3C5919A88D}" name="Indicator Name" dataDxfId="26"/>
    <tableColumn id="4" xr3:uid="{5EDD602D-CDC5-E94D-9D47-40F6520B9BB3}" name="Achieved Result" dataDxfId="25"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7F70D9-703B-7545-933C-BFD6B5E4E8EA}" name="Table1367891011123" displayName="Table1367891011123" ref="A6:D78" totalsRowShown="0" headerRowDxfId="24" tableBorderDxfId="23">
  <tableColumns count="4">
    <tableColumn id="1" xr3:uid="{D12745E6-73E8-514B-B658-6FC02EB3A537}" name="Indicator no." dataDxfId="22"/>
    <tableColumn id="5" xr3:uid="{DAD80531-53E1-A149-8E23-EBBAABC99C97}" name="Type" dataDxfId="21"/>
    <tableColumn id="2" xr3:uid="{BE0AA34C-6ED8-3342-A3C7-87C82C23D59C}" name="Indicator Name" dataDxfId="20"/>
    <tableColumn id="4" xr3:uid="{95351B6D-07E9-BE44-8D59-0836BE7E6380}" name="Achieved Result" dataDxfId="19"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EB1372-74DA-7E42-AAF4-84D5DD86EF87}" name="Table1367891011124" displayName="Table1367891011124" ref="A6:D173" totalsRowShown="0" headerRowDxfId="18" tableBorderDxfId="17">
  <tableColumns count="4">
    <tableColumn id="1" xr3:uid="{BF0F2DE1-D550-2244-A3DD-FA15EAE0062F}" name="Indicator no." dataDxfId="16"/>
    <tableColumn id="5" xr3:uid="{14BC3741-1E25-0F4B-884B-73DB0397AB29}" name="Type" dataDxfId="15"/>
    <tableColumn id="2" xr3:uid="{1681E751-AE7F-CC4E-ABC0-7A7C2ECD227A}" name="Indicator Name" dataDxfId="14"/>
    <tableColumn id="4" xr3:uid="{7259FE07-0EAC-9244-B6DC-E63BD86C6980}" name="Achieved Result" dataDxfId="13"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9B4932-44C0-4042-A31D-A87F7130FB72}" name="Table13678910111245" displayName="Table13678910111245" ref="A6:D209" totalsRowShown="0" headerRowDxfId="12" tableBorderDxfId="11">
  <tableColumns count="4">
    <tableColumn id="1" xr3:uid="{78EAEEB3-29F2-5540-BA0A-4C33621F8B93}" name="Indicator no." dataDxfId="10"/>
    <tableColumn id="5" xr3:uid="{05938807-ED53-F743-BF1C-4D0E16DAE13D}" name="Type" dataDxfId="9"/>
    <tableColumn id="2" xr3:uid="{FDA10C40-9AD8-C745-B601-DEAFE2B63676}" name="Indicator Name" dataDxfId="8"/>
    <tableColumn id="4" xr3:uid="{87B49386-CCF6-4C4E-B532-E76B3B5F4CA3}" name="Achieved Result" dataDxfId="7"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693536-8451-4669-BF53-E19EA5D6486B}" name="Table136789101112456" displayName="Table136789101112456" ref="A5:D181" totalsRowShown="0" headerRowDxfId="6" dataDxfId="5" tableBorderDxfId="4">
  <autoFilter ref="A5:D181" xr:uid="{1A693536-8451-4669-BF53-E19EA5D6486B}"/>
  <tableColumns count="4">
    <tableColumn id="1" xr3:uid="{D4C3C1B8-9AF1-4FE7-9BF9-44A13561D31B}" name="Indicator no." dataDxfId="3"/>
    <tableColumn id="5" xr3:uid="{7534AFEB-0AB9-4A4D-8BFE-4C825F493006}" name="Type" dataDxfId="2"/>
    <tableColumn id="2" xr3:uid="{9F8E12AD-9A86-4182-B8BD-63F142E0B79B}" name="Indicator Name" dataDxfId="1"/>
    <tableColumn id="4" xr3:uid="{B12260D9-EB05-46A7-B0A7-E9E3A0D2031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8"/>
  <sheetViews>
    <sheetView zoomScale="95" zoomScaleNormal="95" workbookViewId="0">
      <selection activeCell="H8" sqref="H8"/>
    </sheetView>
  </sheetViews>
  <sheetFormatPr baseColWidth="10" defaultColWidth="8.83203125" defaultRowHeight="14"/>
  <cols>
    <col min="3" max="3" width="45.1640625" customWidth="1"/>
    <col min="6" max="6" width="14.6640625" customWidth="1"/>
    <col min="10" max="10" width="13.6640625" customWidth="1"/>
    <col min="11" max="12" width="12.1640625" hidden="1" customWidth="1"/>
    <col min="13" max="19" width="12.1640625" customWidth="1"/>
    <col min="20" max="21" width="12.1640625" hidden="1" customWidth="1"/>
    <col min="22" max="32" width="12.1640625" customWidth="1"/>
    <col min="33" max="77" width="12.6640625" customWidth="1"/>
  </cols>
  <sheetData>
    <row r="1" spans="1:77" ht="18">
      <c r="A1" s="93" t="s">
        <v>0</v>
      </c>
    </row>
    <row r="2" spans="1:77" ht="16">
      <c r="A2" s="91" t="s">
        <v>1</v>
      </c>
      <c r="B2" s="3"/>
      <c r="C2" s="5"/>
      <c r="D2" s="9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91"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90" t="s">
        <v>3</v>
      </c>
      <c r="B4" s="86"/>
      <c r="C4" s="89"/>
      <c r="D4" s="84"/>
      <c r="E4" s="88"/>
      <c r="F4" s="84"/>
      <c r="G4" s="87"/>
      <c r="H4" s="87"/>
      <c r="I4" s="87"/>
      <c r="J4" s="87"/>
      <c r="K4" s="85"/>
      <c r="L4" s="84"/>
      <c r="M4" s="84"/>
      <c r="N4" s="84"/>
      <c r="O4" s="84"/>
      <c r="P4" s="84"/>
      <c r="Q4" s="84"/>
      <c r="R4" s="84"/>
      <c r="S4" s="84"/>
      <c r="T4" s="84"/>
      <c r="U4" s="84"/>
      <c r="V4" s="84"/>
      <c r="W4" s="84"/>
      <c r="X4" s="84"/>
      <c r="Y4" s="84"/>
      <c r="Z4" s="84"/>
      <c r="AA4" s="84"/>
      <c r="AB4" s="85"/>
      <c r="AC4" s="87"/>
      <c r="AD4" s="86"/>
      <c r="AE4" s="86"/>
      <c r="AF4" s="85"/>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row>
    <row r="5" spans="1:77">
      <c r="B5" s="79"/>
      <c r="C5" s="83"/>
      <c r="D5" s="81"/>
      <c r="E5" s="81"/>
      <c r="F5" s="81"/>
      <c r="G5" s="80"/>
      <c r="H5" s="80"/>
      <c r="I5" s="80"/>
      <c r="J5" s="80"/>
      <c r="K5" s="82"/>
      <c r="L5" s="81"/>
      <c r="M5" s="81"/>
      <c r="N5" s="81"/>
      <c r="O5" s="81"/>
      <c r="P5" s="81"/>
      <c r="Q5" s="81"/>
      <c r="R5" s="81"/>
      <c r="S5" s="81"/>
      <c r="T5" s="81"/>
      <c r="U5" s="81"/>
      <c r="V5" s="81"/>
      <c r="W5" s="81"/>
      <c r="X5" s="81"/>
      <c r="Y5" s="81"/>
      <c r="Z5" s="81"/>
      <c r="AA5" s="81"/>
      <c r="AB5" s="81"/>
      <c r="AC5" s="80"/>
      <c r="AD5" s="79"/>
      <c r="AE5" s="79"/>
      <c r="AF5" s="78"/>
      <c r="AG5" s="199" t="s">
        <v>4</v>
      </c>
      <c r="AH5" s="199"/>
      <c r="AI5" s="199"/>
      <c r="AJ5" s="199"/>
      <c r="AK5" s="199"/>
      <c r="AL5" s="199"/>
      <c r="AM5" s="199"/>
      <c r="AN5" s="199"/>
      <c r="AO5" s="199"/>
      <c r="AP5" s="199"/>
      <c r="AQ5" s="200" t="s">
        <v>5</v>
      </c>
      <c r="AR5" s="200"/>
      <c r="AS5" s="200"/>
      <c r="AT5" s="200"/>
      <c r="AU5" s="200"/>
      <c r="AV5" s="200"/>
      <c r="AW5" s="200"/>
      <c r="AX5" s="200"/>
      <c r="AY5" s="200"/>
      <c r="AZ5" s="200"/>
      <c r="BA5" s="201" t="s">
        <v>6</v>
      </c>
      <c r="BB5" s="201"/>
      <c r="BC5" s="201"/>
      <c r="BD5" s="201"/>
      <c r="BE5" s="201"/>
      <c r="BF5" s="201"/>
      <c r="BG5" s="201"/>
      <c r="BH5" s="201"/>
      <c r="BI5" s="202" t="s">
        <v>7</v>
      </c>
      <c r="BJ5" s="202"/>
      <c r="BK5" s="202"/>
      <c r="BL5" s="202"/>
      <c r="BM5" s="203" t="s">
        <v>8</v>
      </c>
      <c r="BN5" s="203"/>
      <c r="BO5" s="203"/>
      <c r="BP5" s="203"/>
      <c r="BQ5" s="203"/>
      <c r="BR5" s="203"/>
      <c r="BS5" s="203"/>
      <c r="BT5" s="203"/>
      <c r="BU5" s="203"/>
      <c r="BV5" s="203"/>
      <c r="BW5" s="203"/>
      <c r="BX5" s="198" t="s">
        <v>9</v>
      </c>
      <c r="BY5" s="198"/>
    </row>
    <row r="6" spans="1:77" ht="110.25" customHeight="1">
      <c r="A6" s="76" t="s">
        <v>10</v>
      </c>
      <c r="B6" s="77" t="s">
        <v>11</v>
      </c>
      <c r="C6" s="76" t="s">
        <v>12</v>
      </c>
      <c r="D6" s="76" t="s">
        <v>13</v>
      </c>
      <c r="E6" s="76" t="s">
        <v>14</v>
      </c>
      <c r="F6" s="76" t="s">
        <v>15</v>
      </c>
      <c r="G6" s="76" t="s">
        <v>16</v>
      </c>
      <c r="H6" s="76" t="s">
        <v>17</v>
      </c>
      <c r="I6" s="76" t="s">
        <v>18</v>
      </c>
      <c r="J6" s="76" t="s">
        <v>19</v>
      </c>
      <c r="K6" s="75" t="s">
        <v>20</v>
      </c>
      <c r="L6" s="75" t="s">
        <v>21</v>
      </c>
      <c r="M6" s="75" t="s">
        <v>22</v>
      </c>
      <c r="N6" s="75" t="s">
        <v>23</v>
      </c>
      <c r="O6" s="75" t="s">
        <v>24</v>
      </c>
      <c r="P6" s="75" t="s">
        <v>25</v>
      </c>
      <c r="Q6" s="75" t="s">
        <v>26</v>
      </c>
      <c r="R6" s="75" t="s">
        <v>27</v>
      </c>
      <c r="S6" s="75" t="s">
        <v>28</v>
      </c>
      <c r="T6" s="74" t="s">
        <v>29</v>
      </c>
      <c r="U6" s="74" t="s">
        <v>30</v>
      </c>
      <c r="V6" s="74" t="s">
        <v>31</v>
      </c>
      <c r="W6" s="74" t="s">
        <v>32</v>
      </c>
      <c r="X6" s="74" t="s">
        <v>33</v>
      </c>
      <c r="Y6" s="74" t="s">
        <v>34</v>
      </c>
      <c r="Z6" s="74" t="s">
        <v>35</v>
      </c>
      <c r="AA6" s="74" t="s">
        <v>36</v>
      </c>
      <c r="AB6" s="74" t="s">
        <v>37</v>
      </c>
      <c r="AC6" s="74" t="s">
        <v>38</v>
      </c>
      <c r="AD6" s="74" t="s">
        <v>39</v>
      </c>
      <c r="AE6" s="74" t="s">
        <v>40</v>
      </c>
      <c r="AF6" s="73" t="s">
        <v>41</v>
      </c>
      <c r="AG6" s="72" t="s">
        <v>42</v>
      </c>
      <c r="AH6" s="72" t="s">
        <v>43</v>
      </c>
      <c r="AI6" s="72" t="s">
        <v>44</v>
      </c>
      <c r="AJ6" s="72" t="s">
        <v>45</v>
      </c>
      <c r="AK6" s="72" t="s">
        <v>46</v>
      </c>
      <c r="AL6" s="72" t="s">
        <v>47</v>
      </c>
      <c r="AM6" s="72" t="s">
        <v>48</v>
      </c>
      <c r="AN6" s="72" t="s">
        <v>49</v>
      </c>
      <c r="AO6" s="72" t="s">
        <v>50</v>
      </c>
      <c r="AP6" s="72" t="s">
        <v>51</v>
      </c>
      <c r="AQ6" s="71" t="s">
        <v>52</v>
      </c>
      <c r="AR6" s="71" t="s">
        <v>53</v>
      </c>
      <c r="AS6" s="71" t="s">
        <v>54</v>
      </c>
      <c r="AT6" s="71" t="s">
        <v>55</v>
      </c>
      <c r="AU6" s="71" t="s">
        <v>56</v>
      </c>
      <c r="AV6" s="71" t="s">
        <v>57</v>
      </c>
      <c r="AW6" s="71" t="s">
        <v>58</v>
      </c>
      <c r="AX6" s="71" t="s">
        <v>59</v>
      </c>
      <c r="AY6" s="71" t="s">
        <v>60</v>
      </c>
      <c r="AZ6" s="71" t="s">
        <v>61</v>
      </c>
      <c r="BA6" s="70" t="s">
        <v>62</v>
      </c>
      <c r="BB6" s="70" t="s">
        <v>63</v>
      </c>
      <c r="BC6" s="70" t="s">
        <v>64</v>
      </c>
      <c r="BD6" s="70" t="s">
        <v>65</v>
      </c>
      <c r="BE6" s="70" t="s">
        <v>66</v>
      </c>
      <c r="BF6" s="70" t="s">
        <v>67</v>
      </c>
      <c r="BG6" s="70" t="s">
        <v>68</v>
      </c>
      <c r="BH6" s="70" t="s">
        <v>69</v>
      </c>
      <c r="BI6" s="69" t="s">
        <v>70</v>
      </c>
      <c r="BJ6" s="69" t="s">
        <v>71</v>
      </c>
      <c r="BK6" s="69" t="s">
        <v>72</v>
      </c>
      <c r="BL6" s="69" t="s">
        <v>73</v>
      </c>
      <c r="BM6" s="68" t="s">
        <v>74</v>
      </c>
      <c r="BN6" s="68" t="s">
        <v>75</v>
      </c>
      <c r="BO6" s="68" t="s">
        <v>76</v>
      </c>
      <c r="BP6" s="68" t="s">
        <v>77</v>
      </c>
      <c r="BQ6" s="68" t="s">
        <v>78</v>
      </c>
      <c r="BR6" s="68" t="s">
        <v>79</v>
      </c>
      <c r="BS6" s="68" t="s">
        <v>80</v>
      </c>
      <c r="BT6" s="68" t="s">
        <v>81</v>
      </c>
      <c r="BU6" s="68" t="s">
        <v>82</v>
      </c>
      <c r="BV6" s="68" t="s">
        <v>83</v>
      </c>
      <c r="BW6" s="68" t="s">
        <v>84</v>
      </c>
      <c r="BX6" s="67" t="s">
        <v>85</v>
      </c>
      <c r="BY6" s="67" t="s">
        <v>86</v>
      </c>
    </row>
    <row r="7" spans="1:77">
      <c r="A7" s="23">
        <v>2010</v>
      </c>
      <c r="B7" s="23" t="s">
        <v>87</v>
      </c>
      <c r="C7" s="23" t="s">
        <v>88</v>
      </c>
      <c r="D7" s="23">
        <v>36318</v>
      </c>
      <c r="E7" s="23" t="s">
        <v>89</v>
      </c>
      <c r="F7" s="23" t="s">
        <v>90</v>
      </c>
      <c r="G7" s="14" t="s">
        <v>91</v>
      </c>
      <c r="H7" s="29">
        <v>37965</v>
      </c>
      <c r="I7" s="29">
        <v>38531</v>
      </c>
      <c r="J7" s="14" t="s">
        <v>92</v>
      </c>
      <c r="K7" s="66"/>
      <c r="L7" s="44"/>
      <c r="M7" s="44">
        <v>0</v>
      </c>
      <c r="N7" s="44">
        <v>250</v>
      </c>
      <c r="O7" s="44">
        <v>250</v>
      </c>
      <c r="P7" s="44">
        <v>0</v>
      </c>
      <c r="Q7" s="44">
        <v>143.5</v>
      </c>
      <c r="R7" s="44">
        <v>0</v>
      </c>
      <c r="S7" s="44">
        <v>393.5</v>
      </c>
      <c r="T7" s="44"/>
      <c r="U7" s="44"/>
      <c r="V7" s="44">
        <v>0</v>
      </c>
      <c r="W7" s="44">
        <v>250</v>
      </c>
      <c r="X7" s="44">
        <v>250</v>
      </c>
      <c r="Y7" s="44">
        <v>0</v>
      </c>
      <c r="Z7" s="44">
        <v>219.63</v>
      </c>
      <c r="AA7" s="44">
        <v>0</v>
      </c>
      <c r="AB7" s="44">
        <v>469.63</v>
      </c>
      <c r="AC7" s="58" t="s">
        <v>93</v>
      </c>
      <c r="AD7" s="57"/>
      <c r="AE7" s="57"/>
      <c r="AF7" s="37" t="s">
        <v>94</v>
      </c>
      <c r="AG7" s="13">
        <v>480000</v>
      </c>
      <c r="AH7" s="13">
        <v>0</v>
      </c>
      <c r="AI7" s="13">
        <v>0</v>
      </c>
      <c r="AJ7" s="13">
        <v>600000</v>
      </c>
      <c r="AK7" s="13">
        <v>600000</v>
      </c>
      <c r="AL7" s="13">
        <v>0</v>
      </c>
      <c r="AM7" s="13">
        <v>0</v>
      </c>
      <c r="AN7" s="13">
        <v>0</v>
      </c>
      <c r="AO7" s="36">
        <v>354.5</v>
      </c>
      <c r="AP7" s="36">
        <v>10784</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row>
    <row r="8" spans="1:77">
      <c r="A8" s="23">
        <v>2010</v>
      </c>
      <c r="B8" s="23">
        <v>1968</v>
      </c>
      <c r="C8" s="23" t="s">
        <v>95</v>
      </c>
      <c r="D8" s="23">
        <v>31324</v>
      </c>
      <c r="E8" s="23" t="s">
        <v>89</v>
      </c>
      <c r="F8" s="23" t="s">
        <v>96</v>
      </c>
      <c r="G8" s="14" t="s">
        <v>91</v>
      </c>
      <c r="H8" s="29">
        <v>37602</v>
      </c>
      <c r="I8" s="29">
        <v>39696</v>
      </c>
      <c r="J8" s="14" t="s">
        <v>92</v>
      </c>
      <c r="K8" s="66"/>
      <c r="L8" s="44"/>
      <c r="M8" s="44">
        <v>0</v>
      </c>
      <c r="N8" s="44">
        <v>150</v>
      </c>
      <c r="O8" s="44">
        <v>150</v>
      </c>
      <c r="P8" s="44">
        <v>0</v>
      </c>
      <c r="Q8" s="44">
        <v>0</v>
      </c>
      <c r="R8" s="44">
        <v>0</v>
      </c>
      <c r="S8" s="44">
        <v>150</v>
      </c>
      <c r="T8" s="44"/>
      <c r="U8" s="44"/>
      <c r="V8" s="44">
        <v>0</v>
      </c>
      <c r="W8" s="44">
        <v>21.475000000000001</v>
      </c>
      <c r="X8" s="44">
        <v>21.475000000000001</v>
      </c>
      <c r="Y8" s="44">
        <v>0</v>
      </c>
      <c r="Z8" s="44">
        <v>0</v>
      </c>
      <c r="AA8" s="44">
        <v>0</v>
      </c>
      <c r="AB8" s="44">
        <v>21.475000000000001</v>
      </c>
      <c r="AC8" s="58" t="s">
        <v>93</v>
      </c>
      <c r="AD8" s="57"/>
      <c r="AE8" s="57"/>
      <c r="AF8" s="37" t="s">
        <v>93</v>
      </c>
      <c r="AG8" s="13">
        <v>0</v>
      </c>
      <c r="AH8" s="13">
        <v>0</v>
      </c>
      <c r="AI8" s="13">
        <v>0</v>
      </c>
      <c r="AJ8" s="13">
        <v>0</v>
      </c>
      <c r="AK8" s="13">
        <v>0</v>
      </c>
      <c r="AL8" s="13">
        <v>0</v>
      </c>
      <c r="AM8" s="13">
        <v>0</v>
      </c>
      <c r="AN8" s="13">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0</v>
      </c>
      <c r="BY8" s="36">
        <v>0</v>
      </c>
    </row>
    <row r="9" spans="1:77">
      <c r="A9" s="23">
        <v>2010</v>
      </c>
      <c r="B9" s="23">
        <v>7105</v>
      </c>
      <c r="C9" s="23" t="s">
        <v>97</v>
      </c>
      <c r="D9" s="23">
        <v>28708</v>
      </c>
      <c r="E9" s="23" t="s">
        <v>89</v>
      </c>
      <c r="F9" s="23" t="s">
        <v>98</v>
      </c>
      <c r="G9" s="22" t="s">
        <v>99</v>
      </c>
      <c r="H9" s="60">
        <v>34566</v>
      </c>
      <c r="I9" s="60">
        <v>40528</v>
      </c>
      <c r="J9" s="22" t="s">
        <v>92</v>
      </c>
      <c r="K9" s="52"/>
      <c r="L9" s="44"/>
      <c r="M9" s="44">
        <v>0</v>
      </c>
      <c r="N9" s="44">
        <v>4.82</v>
      </c>
      <c r="O9" s="44">
        <v>4.82</v>
      </c>
      <c r="P9" s="44">
        <v>27.18</v>
      </c>
      <c r="Q9" s="44">
        <v>0</v>
      </c>
      <c r="R9" s="44">
        <v>0</v>
      </c>
      <c r="S9" s="44">
        <v>32</v>
      </c>
      <c r="T9" s="44"/>
      <c r="U9" s="44"/>
      <c r="V9" s="44">
        <v>0</v>
      </c>
      <c r="W9" s="44">
        <v>4.8</v>
      </c>
      <c r="X9" s="44">
        <v>4.8</v>
      </c>
      <c r="Y9" s="44">
        <v>0</v>
      </c>
      <c r="Z9" s="44">
        <v>0</v>
      </c>
      <c r="AA9" s="44">
        <v>0</v>
      </c>
      <c r="AB9" s="44">
        <v>4.8</v>
      </c>
      <c r="AC9" s="58" t="s">
        <v>93</v>
      </c>
      <c r="AD9" s="57"/>
      <c r="AE9" s="57"/>
      <c r="AF9" s="37" t="s">
        <v>93</v>
      </c>
      <c r="AG9" s="13">
        <v>0</v>
      </c>
      <c r="AH9" s="13">
        <v>0</v>
      </c>
      <c r="AI9" s="13">
        <v>0</v>
      </c>
      <c r="AJ9" s="13">
        <v>0</v>
      </c>
      <c r="AK9" s="13">
        <v>0</v>
      </c>
      <c r="AL9" s="13">
        <v>0</v>
      </c>
      <c r="AM9" s="13">
        <v>0</v>
      </c>
      <c r="AN9" s="13">
        <v>0</v>
      </c>
      <c r="AO9" s="36">
        <v>0</v>
      </c>
      <c r="AP9" s="36">
        <v>0</v>
      </c>
      <c r="AQ9" s="36">
        <v>0</v>
      </c>
      <c r="AR9" s="36">
        <v>0</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row>
    <row r="10" spans="1:77">
      <c r="A10" s="23">
        <v>2011</v>
      </c>
      <c r="B10" s="23">
        <v>7138</v>
      </c>
      <c r="C10" s="23" t="s">
        <v>100</v>
      </c>
      <c r="D10" s="23">
        <v>31901</v>
      </c>
      <c r="E10" s="23" t="s">
        <v>89</v>
      </c>
      <c r="F10" s="23" t="s">
        <v>101</v>
      </c>
      <c r="G10" s="22" t="s">
        <v>99</v>
      </c>
      <c r="H10" s="60">
        <v>35717</v>
      </c>
      <c r="I10" s="60">
        <v>38975</v>
      </c>
      <c r="J10" s="22" t="s">
        <v>92</v>
      </c>
      <c r="K10" s="52"/>
      <c r="L10" s="44"/>
      <c r="M10" s="44">
        <v>0</v>
      </c>
      <c r="N10" s="44">
        <v>30</v>
      </c>
      <c r="O10" s="44">
        <v>30</v>
      </c>
      <c r="P10" s="44">
        <v>0</v>
      </c>
      <c r="Q10" s="44">
        <v>0</v>
      </c>
      <c r="R10" s="44">
        <v>0</v>
      </c>
      <c r="S10" s="44">
        <v>30</v>
      </c>
      <c r="T10" s="44"/>
      <c r="U10" s="44"/>
      <c r="V10" s="44">
        <v>0</v>
      </c>
      <c r="W10" s="44">
        <v>30</v>
      </c>
      <c r="X10" s="44">
        <v>30</v>
      </c>
      <c r="Y10" s="44">
        <v>0</v>
      </c>
      <c r="Z10" s="44">
        <v>0</v>
      </c>
      <c r="AA10" s="44">
        <v>0</v>
      </c>
      <c r="AB10" s="44">
        <v>30</v>
      </c>
      <c r="AC10" s="58" t="s">
        <v>93</v>
      </c>
      <c r="AD10" s="57"/>
      <c r="AE10" s="57"/>
      <c r="AF10" s="37" t="s">
        <v>93</v>
      </c>
      <c r="AG10" s="13">
        <v>0</v>
      </c>
      <c r="AH10" s="13">
        <v>0</v>
      </c>
      <c r="AI10" s="13">
        <v>0</v>
      </c>
      <c r="AJ10" s="13">
        <v>0</v>
      </c>
      <c r="AK10" s="13">
        <v>0</v>
      </c>
      <c r="AL10" s="13">
        <v>0</v>
      </c>
      <c r="AM10" s="13">
        <v>0</v>
      </c>
      <c r="AN10" s="13">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row>
    <row r="11" spans="1:77">
      <c r="A11" s="23">
        <v>2011</v>
      </c>
      <c r="B11" s="23">
        <v>2169</v>
      </c>
      <c r="C11" s="23" t="s">
        <v>102</v>
      </c>
      <c r="D11" s="23">
        <v>38926</v>
      </c>
      <c r="E11" s="23" t="s">
        <v>89</v>
      </c>
      <c r="F11" s="23" t="s">
        <v>103</v>
      </c>
      <c r="G11" s="22" t="s">
        <v>99</v>
      </c>
      <c r="H11" s="60">
        <v>38461</v>
      </c>
      <c r="I11" s="60" t="s">
        <v>104</v>
      </c>
      <c r="J11" s="22" t="s">
        <v>92</v>
      </c>
      <c r="K11" s="52"/>
      <c r="L11" s="44"/>
      <c r="M11" s="44">
        <v>0</v>
      </c>
      <c r="N11" s="44">
        <v>50</v>
      </c>
      <c r="O11" s="44">
        <v>50</v>
      </c>
      <c r="P11" s="44">
        <v>0</v>
      </c>
      <c r="Q11" s="44">
        <v>0</v>
      </c>
      <c r="R11" s="44">
        <v>0</v>
      </c>
      <c r="S11" s="44">
        <v>50</v>
      </c>
      <c r="T11" s="44"/>
      <c r="U11" s="44"/>
      <c r="V11" s="44">
        <v>0</v>
      </c>
      <c r="W11" s="44">
        <v>50</v>
      </c>
      <c r="X11" s="44">
        <v>50</v>
      </c>
      <c r="Y11" s="44">
        <v>0</v>
      </c>
      <c r="Z11" s="44">
        <v>0</v>
      </c>
      <c r="AA11" s="44">
        <v>0</v>
      </c>
      <c r="AB11" s="44">
        <v>50</v>
      </c>
      <c r="AC11" s="58" t="s">
        <v>93</v>
      </c>
      <c r="AD11" s="57"/>
      <c r="AE11" s="57"/>
      <c r="AF11" s="37" t="s">
        <v>93</v>
      </c>
      <c r="AG11" s="13">
        <v>0</v>
      </c>
      <c r="AH11" s="13">
        <v>0</v>
      </c>
      <c r="AI11" s="13">
        <v>0</v>
      </c>
      <c r="AJ11" s="13">
        <v>0</v>
      </c>
      <c r="AK11" s="13">
        <v>0</v>
      </c>
      <c r="AL11" s="13">
        <v>0</v>
      </c>
      <c r="AM11" s="13">
        <v>0</v>
      </c>
      <c r="AN11" s="13">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row>
    <row r="12" spans="1:77">
      <c r="A12" s="23">
        <v>2011</v>
      </c>
      <c r="B12" s="23">
        <v>1958</v>
      </c>
      <c r="C12" s="23" t="s">
        <v>105</v>
      </c>
      <c r="D12" s="23">
        <v>34263</v>
      </c>
      <c r="E12" s="23" t="s">
        <v>89</v>
      </c>
      <c r="F12" s="23" t="s">
        <v>106</v>
      </c>
      <c r="G12" s="22" t="s">
        <v>91</v>
      </c>
      <c r="H12" s="60">
        <v>37595</v>
      </c>
      <c r="I12" s="60">
        <v>38805</v>
      </c>
      <c r="J12" s="22" t="s">
        <v>92</v>
      </c>
      <c r="K12" s="52"/>
      <c r="L12" s="44"/>
      <c r="M12" s="44">
        <v>0</v>
      </c>
      <c r="N12" s="44">
        <v>30</v>
      </c>
      <c r="O12" s="44">
        <v>30</v>
      </c>
      <c r="P12" s="44">
        <v>0</v>
      </c>
      <c r="Q12" s="44">
        <v>0</v>
      </c>
      <c r="R12" s="44">
        <v>0</v>
      </c>
      <c r="S12" s="44">
        <v>30</v>
      </c>
      <c r="T12" s="44"/>
      <c r="U12" s="44"/>
      <c r="V12" s="44">
        <v>0</v>
      </c>
      <c r="W12" s="44">
        <v>30</v>
      </c>
      <c r="X12" s="44">
        <v>30</v>
      </c>
      <c r="Y12" s="44">
        <v>0</v>
      </c>
      <c r="Z12" s="44">
        <v>0</v>
      </c>
      <c r="AA12" s="44">
        <v>0</v>
      </c>
      <c r="AB12" s="44">
        <v>30</v>
      </c>
      <c r="AC12" s="58" t="s">
        <v>93</v>
      </c>
      <c r="AD12" s="57"/>
      <c r="AE12" s="57"/>
      <c r="AF12" s="37" t="s">
        <v>94</v>
      </c>
      <c r="AG12" s="13">
        <v>0</v>
      </c>
      <c r="AH12" s="13">
        <v>0</v>
      </c>
      <c r="AI12" s="13">
        <v>0</v>
      </c>
      <c r="AJ12" s="13">
        <v>0</v>
      </c>
      <c r="AK12" s="13">
        <v>0</v>
      </c>
      <c r="AL12" s="13">
        <v>0</v>
      </c>
      <c r="AM12" s="13">
        <v>0</v>
      </c>
      <c r="AN12" s="13">
        <v>0</v>
      </c>
      <c r="AO12" s="36">
        <v>0</v>
      </c>
      <c r="AP12" s="36">
        <v>0</v>
      </c>
      <c r="AQ12" s="36">
        <v>3743594</v>
      </c>
      <c r="AR12" s="36">
        <v>0</v>
      </c>
      <c r="AS12" s="36">
        <v>0</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row>
    <row r="13" spans="1:77">
      <c r="A13" s="23">
        <v>2011</v>
      </c>
      <c r="B13" s="23">
        <v>1959</v>
      </c>
      <c r="C13" s="23" t="s">
        <v>107</v>
      </c>
      <c r="D13" s="23">
        <v>34263</v>
      </c>
      <c r="E13" s="23" t="s">
        <v>89</v>
      </c>
      <c r="F13" s="23" t="s">
        <v>108</v>
      </c>
      <c r="G13" s="22" t="s">
        <v>91</v>
      </c>
      <c r="H13" s="60">
        <v>37595</v>
      </c>
      <c r="I13" s="60">
        <v>38805</v>
      </c>
      <c r="J13" s="22" t="s">
        <v>92</v>
      </c>
      <c r="K13" s="52"/>
      <c r="L13" s="44"/>
      <c r="M13" s="44">
        <v>0</v>
      </c>
      <c r="N13" s="44">
        <v>150</v>
      </c>
      <c r="O13" s="44">
        <v>150</v>
      </c>
      <c r="P13" s="44">
        <v>0</v>
      </c>
      <c r="Q13" s="44">
        <v>141.80000000000001</v>
      </c>
      <c r="R13" s="44">
        <v>0</v>
      </c>
      <c r="S13" s="44">
        <v>291.8</v>
      </c>
      <c r="T13" s="44"/>
      <c r="U13" s="44"/>
      <c r="V13" s="44">
        <v>0</v>
      </c>
      <c r="W13" s="44">
        <v>164.1</v>
      </c>
      <c r="X13" s="44">
        <v>164.1</v>
      </c>
      <c r="Y13" s="44">
        <v>0</v>
      </c>
      <c r="Z13" s="44">
        <v>135.19999999999999</v>
      </c>
      <c r="AA13" s="44">
        <v>0</v>
      </c>
      <c r="AB13" s="44">
        <v>299.29999999999995</v>
      </c>
      <c r="AC13" s="58" t="s">
        <v>93</v>
      </c>
      <c r="AD13" s="57"/>
      <c r="AE13" s="57"/>
      <c r="AF13" s="37" t="s">
        <v>94</v>
      </c>
      <c r="AG13" s="13">
        <v>0</v>
      </c>
      <c r="AH13" s="13">
        <v>0</v>
      </c>
      <c r="AI13" s="13">
        <v>0</v>
      </c>
      <c r="AJ13" s="13">
        <v>0</v>
      </c>
      <c r="AK13" s="13">
        <v>0</v>
      </c>
      <c r="AL13" s="13">
        <v>0</v>
      </c>
      <c r="AM13" s="13">
        <v>0</v>
      </c>
      <c r="AN13" s="13">
        <v>0</v>
      </c>
      <c r="AO13" s="36">
        <v>0</v>
      </c>
      <c r="AP13" s="36">
        <v>0</v>
      </c>
      <c r="AQ13" s="36">
        <v>0</v>
      </c>
      <c r="AR13" s="36">
        <v>0</v>
      </c>
      <c r="AS13" s="36">
        <v>1603</v>
      </c>
      <c r="AT13" s="36">
        <v>0</v>
      </c>
      <c r="AU13" s="36">
        <v>1603</v>
      </c>
      <c r="AV13" s="36">
        <v>0</v>
      </c>
      <c r="AW13" s="36">
        <v>1603</v>
      </c>
      <c r="AX13" s="36">
        <v>0</v>
      </c>
      <c r="AY13" s="36">
        <v>0</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row>
    <row r="14" spans="1:77">
      <c r="A14" s="23">
        <v>2011</v>
      </c>
      <c r="B14" s="23">
        <v>1556</v>
      </c>
      <c r="C14" s="23" t="s">
        <v>109</v>
      </c>
      <c r="D14" s="23">
        <v>23241</v>
      </c>
      <c r="E14" s="23" t="s">
        <v>89</v>
      </c>
      <c r="F14" s="23" t="s">
        <v>110</v>
      </c>
      <c r="G14" s="22" t="s">
        <v>111</v>
      </c>
      <c r="H14" s="60">
        <v>35702</v>
      </c>
      <c r="I14" s="60">
        <v>40695</v>
      </c>
      <c r="J14" s="22" t="s">
        <v>92</v>
      </c>
      <c r="K14" s="52"/>
      <c r="L14" s="44"/>
      <c r="M14" s="44">
        <v>0</v>
      </c>
      <c r="N14" s="44">
        <v>97.8</v>
      </c>
      <c r="O14" s="44">
        <v>97.8</v>
      </c>
      <c r="P14" s="44">
        <v>0</v>
      </c>
      <c r="Q14" s="44">
        <v>55.3</v>
      </c>
      <c r="R14" s="44">
        <v>0</v>
      </c>
      <c r="S14" s="44">
        <v>153.1</v>
      </c>
      <c r="T14" s="44"/>
      <c r="U14" s="44"/>
      <c r="V14" s="44">
        <v>0</v>
      </c>
      <c r="W14" s="44">
        <v>43.42</v>
      </c>
      <c r="X14" s="44">
        <v>43.42</v>
      </c>
      <c r="Y14" s="44">
        <v>0</v>
      </c>
      <c r="Z14" s="44">
        <v>73.760000000000005</v>
      </c>
      <c r="AA14" s="44">
        <v>0</v>
      </c>
      <c r="AB14" s="44">
        <v>117.18</v>
      </c>
      <c r="AC14" s="58" t="s">
        <v>93</v>
      </c>
      <c r="AD14" s="57"/>
      <c r="AE14" s="57"/>
      <c r="AF14" s="37" t="s">
        <v>93</v>
      </c>
      <c r="AG14" s="13">
        <v>0</v>
      </c>
      <c r="AH14" s="13">
        <v>0</v>
      </c>
      <c r="AI14" s="13">
        <v>0</v>
      </c>
      <c r="AJ14" s="13">
        <v>0</v>
      </c>
      <c r="AK14" s="13">
        <v>0</v>
      </c>
      <c r="AL14" s="13">
        <v>0</v>
      </c>
      <c r="AM14" s="13">
        <v>0</v>
      </c>
      <c r="AN14" s="13">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row>
    <row r="15" spans="1:77">
      <c r="A15" s="23">
        <v>2011</v>
      </c>
      <c r="B15" s="23">
        <v>1557</v>
      </c>
      <c r="C15" s="23" t="s">
        <v>112</v>
      </c>
      <c r="D15" s="23">
        <v>23241</v>
      </c>
      <c r="E15" s="23" t="s">
        <v>89</v>
      </c>
      <c r="F15" s="23" t="s">
        <v>110</v>
      </c>
      <c r="G15" s="22" t="s">
        <v>111</v>
      </c>
      <c r="H15" s="60">
        <v>35702</v>
      </c>
      <c r="I15" s="60">
        <v>37510</v>
      </c>
      <c r="J15" s="22" t="s">
        <v>92</v>
      </c>
      <c r="K15" s="52"/>
      <c r="L15" s="44"/>
      <c r="M15" s="44">
        <v>0</v>
      </c>
      <c r="N15" s="44">
        <v>15.2</v>
      </c>
      <c r="O15" s="44">
        <v>15.2</v>
      </c>
      <c r="P15" s="44">
        <v>0</v>
      </c>
      <c r="Q15" s="44">
        <v>39.9</v>
      </c>
      <c r="R15" s="44">
        <v>36.799999999999997</v>
      </c>
      <c r="S15" s="44">
        <v>91.899999999999991</v>
      </c>
      <c r="T15" s="44"/>
      <c r="U15" s="44"/>
      <c r="V15" s="44">
        <v>0</v>
      </c>
      <c r="W15" s="44">
        <v>4.51</v>
      </c>
      <c r="X15" s="44">
        <v>4.51</v>
      </c>
      <c r="Y15" s="44">
        <v>0</v>
      </c>
      <c r="Z15" s="44">
        <v>17.34</v>
      </c>
      <c r="AA15" s="44">
        <v>96.5</v>
      </c>
      <c r="AB15" s="44">
        <v>118.35</v>
      </c>
      <c r="AC15" s="58" t="s">
        <v>93</v>
      </c>
      <c r="AD15" s="57"/>
      <c r="AE15" s="57"/>
      <c r="AF15" s="37" t="s">
        <v>93</v>
      </c>
      <c r="AG15" s="13">
        <v>0</v>
      </c>
      <c r="AH15" s="13">
        <v>0</v>
      </c>
      <c r="AI15" s="13">
        <v>0</v>
      </c>
      <c r="AJ15" s="13">
        <v>0</v>
      </c>
      <c r="AK15" s="13">
        <v>0</v>
      </c>
      <c r="AL15" s="13">
        <v>0</v>
      </c>
      <c r="AM15" s="13">
        <v>0</v>
      </c>
      <c r="AN15" s="13">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row>
    <row r="16" spans="1:77">
      <c r="A16" s="23">
        <v>2011</v>
      </c>
      <c r="B16" s="23">
        <v>2018</v>
      </c>
      <c r="C16" s="23" t="s">
        <v>113</v>
      </c>
      <c r="D16" s="23">
        <v>36320</v>
      </c>
      <c r="E16" s="23" t="s">
        <v>89</v>
      </c>
      <c r="F16" s="23" t="s">
        <v>110</v>
      </c>
      <c r="G16" s="22" t="s">
        <v>111</v>
      </c>
      <c r="H16" s="60">
        <v>37945</v>
      </c>
      <c r="I16" s="60">
        <v>39994</v>
      </c>
      <c r="J16" s="22" t="s">
        <v>92</v>
      </c>
      <c r="K16" s="52"/>
      <c r="L16" s="44"/>
      <c r="M16" s="44">
        <v>0</v>
      </c>
      <c r="N16" s="44">
        <v>400</v>
      </c>
      <c r="O16" s="44">
        <v>400</v>
      </c>
      <c r="P16" s="44">
        <v>0</v>
      </c>
      <c r="Q16" s="44">
        <v>0</v>
      </c>
      <c r="R16" s="44">
        <v>171</v>
      </c>
      <c r="S16" s="44">
        <v>571</v>
      </c>
      <c r="T16" s="44"/>
      <c r="U16" s="44"/>
      <c r="V16" s="44">
        <v>0</v>
      </c>
      <c r="W16" s="44">
        <v>366.4</v>
      </c>
      <c r="X16" s="44">
        <v>366.4</v>
      </c>
      <c r="Y16" s="44">
        <v>0</v>
      </c>
      <c r="Z16" s="44">
        <v>0</v>
      </c>
      <c r="AA16" s="44">
        <v>144.30000000000001</v>
      </c>
      <c r="AB16" s="44">
        <v>510.7</v>
      </c>
      <c r="AC16" s="58" t="s">
        <v>93</v>
      </c>
      <c r="AD16" s="57"/>
      <c r="AE16" s="57"/>
      <c r="AF16" s="37" t="s">
        <v>94</v>
      </c>
      <c r="AG16" s="13">
        <v>0</v>
      </c>
      <c r="AH16" s="13">
        <v>0</v>
      </c>
      <c r="AI16" s="13">
        <v>0</v>
      </c>
      <c r="AJ16" s="13">
        <v>0</v>
      </c>
      <c r="AK16" s="13">
        <v>0</v>
      </c>
      <c r="AL16" s="13">
        <v>0</v>
      </c>
      <c r="AM16" s="13">
        <v>0</v>
      </c>
      <c r="AN16" s="13">
        <v>0</v>
      </c>
      <c r="AO16" s="36">
        <v>0</v>
      </c>
      <c r="AP16" s="36">
        <v>0</v>
      </c>
      <c r="AQ16" s="36">
        <v>2281975</v>
      </c>
      <c r="AR16" s="36">
        <v>0</v>
      </c>
      <c r="AS16" s="36">
        <v>9575</v>
      </c>
      <c r="AT16" s="36">
        <v>0</v>
      </c>
      <c r="AU16" s="36">
        <v>9575</v>
      </c>
      <c r="AV16" s="36">
        <v>9575</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row>
    <row r="17" spans="1:77">
      <c r="A17" s="23">
        <v>2011</v>
      </c>
      <c r="B17" s="23">
        <v>1647</v>
      </c>
      <c r="C17" s="23" t="s">
        <v>114</v>
      </c>
      <c r="D17" s="23">
        <v>29120</v>
      </c>
      <c r="E17" s="23" t="s">
        <v>89</v>
      </c>
      <c r="F17" s="23" t="s">
        <v>110</v>
      </c>
      <c r="G17" s="22" t="s">
        <v>111</v>
      </c>
      <c r="H17" s="60">
        <v>36132</v>
      </c>
      <c r="I17" s="60">
        <v>39975</v>
      </c>
      <c r="J17" s="22" t="s">
        <v>92</v>
      </c>
      <c r="K17" s="52"/>
      <c r="L17" s="44"/>
      <c r="M17" s="44">
        <v>0</v>
      </c>
      <c r="N17" s="44">
        <v>250</v>
      </c>
      <c r="O17" s="44">
        <v>250</v>
      </c>
      <c r="P17" s="44">
        <v>0</v>
      </c>
      <c r="Q17" s="44">
        <v>143</v>
      </c>
      <c r="R17" s="44">
        <v>0</v>
      </c>
      <c r="S17" s="44">
        <v>393</v>
      </c>
      <c r="T17" s="44"/>
      <c r="U17" s="44"/>
      <c r="V17" s="44">
        <v>0</v>
      </c>
      <c r="W17" s="44">
        <v>250</v>
      </c>
      <c r="X17" s="44">
        <v>250</v>
      </c>
      <c r="Y17" s="44">
        <v>0</v>
      </c>
      <c r="Z17" s="44">
        <v>195.95</v>
      </c>
      <c r="AA17" s="44">
        <v>0</v>
      </c>
      <c r="AB17" s="44">
        <v>445.95</v>
      </c>
      <c r="AC17" s="58" t="s">
        <v>93</v>
      </c>
      <c r="AD17" s="57"/>
      <c r="AE17" s="57"/>
      <c r="AF17" s="37" t="s">
        <v>94</v>
      </c>
      <c r="AG17" s="13">
        <v>0</v>
      </c>
      <c r="AH17" s="13">
        <v>0</v>
      </c>
      <c r="AI17" s="13">
        <v>0</v>
      </c>
      <c r="AJ17" s="13">
        <v>0</v>
      </c>
      <c r="AK17" s="13">
        <v>0</v>
      </c>
      <c r="AL17" s="13">
        <v>0</v>
      </c>
      <c r="AM17" s="13">
        <v>0</v>
      </c>
      <c r="AN17" s="13">
        <v>0</v>
      </c>
      <c r="AO17" s="36">
        <v>0</v>
      </c>
      <c r="AP17" s="36">
        <v>0</v>
      </c>
      <c r="AQ17" s="36">
        <v>0</v>
      </c>
      <c r="AR17" s="36">
        <v>0</v>
      </c>
      <c r="AS17" s="36">
        <v>96</v>
      </c>
      <c r="AT17" s="36">
        <v>0</v>
      </c>
      <c r="AU17" s="36">
        <v>96</v>
      </c>
      <c r="AV17" s="36">
        <v>0</v>
      </c>
      <c r="AW17" s="36">
        <v>96</v>
      </c>
      <c r="AX17" s="36">
        <v>0</v>
      </c>
      <c r="AY17" s="36">
        <v>0</v>
      </c>
      <c r="AZ17" s="36">
        <v>0</v>
      </c>
      <c r="BA17" s="36">
        <v>1284404</v>
      </c>
      <c r="BB17" s="36">
        <v>0</v>
      </c>
      <c r="BC17" s="36">
        <v>1284404</v>
      </c>
      <c r="BD17" s="36">
        <v>642202</v>
      </c>
      <c r="BE17" s="36">
        <v>169.5</v>
      </c>
      <c r="BF17" s="36">
        <v>1763</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row>
    <row r="18" spans="1:77">
      <c r="A18" s="23">
        <v>2012</v>
      </c>
      <c r="B18" s="23" t="s">
        <v>115</v>
      </c>
      <c r="C18" s="23" t="s">
        <v>116</v>
      </c>
      <c r="D18" s="23" t="s">
        <v>117</v>
      </c>
      <c r="E18" s="23" t="s">
        <v>89</v>
      </c>
      <c r="F18" s="23" t="s">
        <v>103</v>
      </c>
      <c r="G18" s="22" t="s">
        <v>99</v>
      </c>
      <c r="H18" s="60">
        <v>39189</v>
      </c>
      <c r="I18" s="60">
        <v>39209</v>
      </c>
      <c r="J18" s="22" t="s">
        <v>92</v>
      </c>
      <c r="K18" s="52"/>
      <c r="L18" s="18"/>
      <c r="M18" s="18">
        <v>0</v>
      </c>
      <c r="N18" s="18">
        <v>79.340999999999994</v>
      </c>
      <c r="O18" s="44">
        <v>79.340999999999994</v>
      </c>
      <c r="P18" s="18">
        <v>0</v>
      </c>
      <c r="Q18" s="18">
        <v>0</v>
      </c>
      <c r="R18" s="44">
        <v>0</v>
      </c>
      <c r="S18" s="44">
        <v>79.340999999999994</v>
      </c>
      <c r="T18" s="44"/>
      <c r="U18" s="43"/>
      <c r="V18" s="43">
        <v>0</v>
      </c>
      <c r="W18" s="43">
        <v>36.441204999999997</v>
      </c>
      <c r="X18" s="44">
        <v>36.441204999999997</v>
      </c>
      <c r="Y18" s="43">
        <v>0</v>
      </c>
      <c r="Z18" s="65">
        <v>0</v>
      </c>
      <c r="AA18" s="65">
        <v>29.95289330237312</v>
      </c>
      <c r="AB18" s="64">
        <v>66.394098302373123</v>
      </c>
      <c r="AC18" s="63" t="s">
        <v>93</v>
      </c>
      <c r="AD18" s="62"/>
      <c r="AE18" s="62"/>
      <c r="AF18" s="37" t="s">
        <v>94</v>
      </c>
      <c r="AG18" s="13">
        <v>105000</v>
      </c>
      <c r="AH18" s="13">
        <v>0</v>
      </c>
      <c r="AI18" s="13">
        <v>0</v>
      </c>
      <c r="AJ18" s="13">
        <v>0</v>
      </c>
      <c r="AK18" s="13">
        <v>0</v>
      </c>
      <c r="AL18" s="13">
        <v>0</v>
      </c>
      <c r="AM18" s="13">
        <v>79.150000000000006</v>
      </c>
      <c r="AN18" s="13">
        <v>3.3</v>
      </c>
      <c r="AO18" s="36">
        <v>0</v>
      </c>
      <c r="AP18" s="36">
        <v>0</v>
      </c>
      <c r="AQ18" s="11">
        <v>0</v>
      </c>
      <c r="AR18" s="36">
        <v>0</v>
      </c>
      <c r="AS18" s="11">
        <v>0</v>
      </c>
      <c r="AT18" s="11">
        <v>0</v>
      </c>
      <c r="AU18" s="11">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row>
    <row r="19" spans="1:77">
      <c r="A19" s="23">
        <v>2012</v>
      </c>
      <c r="B19" s="23" t="s">
        <v>118</v>
      </c>
      <c r="C19" s="23" t="s">
        <v>119</v>
      </c>
      <c r="D19" s="23" t="s">
        <v>120</v>
      </c>
      <c r="E19" s="23" t="s">
        <v>89</v>
      </c>
      <c r="F19" s="23" t="s">
        <v>121</v>
      </c>
      <c r="G19" s="22" t="s">
        <v>99</v>
      </c>
      <c r="H19" s="60">
        <v>38930</v>
      </c>
      <c r="I19" s="60">
        <v>39290</v>
      </c>
      <c r="J19" s="22" t="s">
        <v>92</v>
      </c>
      <c r="K19" s="52"/>
      <c r="L19" s="18"/>
      <c r="M19" s="18">
        <v>0</v>
      </c>
      <c r="N19" s="18">
        <v>336</v>
      </c>
      <c r="O19" s="44">
        <v>336</v>
      </c>
      <c r="P19" s="18">
        <v>0</v>
      </c>
      <c r="Q19" s="18">
        <v>0</v>
      </c>
      <c r="R19" s="44">
        <v>0</v>
      </c>
      <c r="S19" s="44">
        <v>336</v>
      </c>
      <c r="T19" s="44"/>
      <c r="U19" s="43"/>
      <c r="V19" s="43">
        <v>0</v>
      </c>
      <c r="W19" s="43">
        <v>150</v>
      </c>
      <c r="X19" s="44">
        <v>150</v>
      </c>
      <c r="Y19" s="43">
        <v>0</v>
      </c>
      <c r="Z19" s="43">
        <v>0</v>
      </c>
      <c r="AA19" s="43">
        <v>0</v>
      </c>
      <c r="AB19" s="44">
        <v>150</v>
      </c>
      <c r="AC19" s="58" t="s">
        <v>93</v>
      </c>
      <c r="AD19" s="57"/>
      <c r="AE19" s="57"/>
      <c r="AF19" s="37" t="s">
        <v>94</v>
      </c>
      <c r="AG19" s="61">
        <v>0</v>
      </c>
      <c r="AH19" s="61">
        <v>0</v>
      </c>
      <c r="AI19" s="13">
        <v>0</v>
      </c>
      <c r="AJ19" s="13">
        <v>0</v>
      </c>
      <c r="AK19" s="13">
        <v>0</v>
      </c>
      <c r="AL19" s="13">
        <v>0</v>
      </c>
      <c r="AM19" s="13">
        <v>4082.6633782306812</v>
      </c>
      <c r="AN19" s="13">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row>
    <row r="20" spans="1:77">
      <c r="A20" s="23">
        <v>2012</v>
      </c>
      <c r="B20" s="23" t="s">
        <v>122</v>
      </c>
      <c r="C20" s="23" t="s">
        <v>123</v>
      </c>
      <c r="D20" s="23" t="s">
        <v>124</v>
      </c>
      <c r="E20" s="23" t="s">
        <v>89</v>
      </c>
      <c r="F20" s="23" t="s">
        <v>121</v>
      </c>
      <c r="G20" s="22" t="s">
        <v>99</v>
      </c>
      <c r="H20" s="60">
        <v>39555</v>
      </c>
      <c r="I20" s="60">
        <v>39974</v>
      </c>
      <c r="J20" s="22" t="s">
        <v>92</v>
      </c>
      <c r="K20" s="52"/>
      <c r="L20" s="18"/>
      <c r="M20" s="18">
        <v>0</v>
      </c>
      <c r="N20" s="18">
        <v>110</v>
      </c>
      <c r="O20" s="44">
        <v>110</v>
      </c>
      <c r="P20" s="18">
        <v>0</v>
      </c>
      <c r="Q20" s="18">
        <v>0</v>
      </c>
      <c r="R20" s="44">
        <v>0</v>
      </c>
      <c r="S20" s="44">
        <v>110</v>
      </c>
      <c r="T20" s="44"/>
      <c r="U20" s="43"/>
      <c r="V20" s="43">
        <v>0</v>
      </c>
      <c r="W20" s="43">
        <v>45</v>
      </c>
      <c r="X20" s="44">
        <v>45</v>
      </c>
      <c r="Y20" s="43">
        <v>0</v>
      </c>
      <c r="Z20" s="43">
        <v>0</v>
      </c>
      <c r="AA20" s="43">
        <v>0</v>
      </c>
      <c r="AB20" s="44">
        <v>45</v>
      </c>
      <c r="AC20" s="58" t="s">
        <v>93</v>
      </c>
      <c r="AD20" s="57"/>
      <c r="AE20" s="57"/>
      <c r="AF20" s="37" t="s">
        <v>94</v>
      </c>
      <c r="AG20" s="13">
        <v>69000</v>
      </c>
      <c r="AH20" s="13">
        <v>0</v>
      </c>
      <c r="AI20" s="13">
        <v>0</v>
      </c>
      <c r="AJ20" s="13">
        <v>0</v>
      </c>
      <c r="AK20" s="13">
        <v>0</v>
      </c>
      <c r="AL20" s="13">
        <v>0</v>
      </c>
      <c r="AM20" s="13">
        <v>50.4</v>
      </c>
      <c r="AN20" s="13">
        <v>172.8</v>
      </c>
      <c r="AO20" s="36">
        <v>0</v>
      </c>
      <c r="AP20" s="36">
        <v>0</v>
      </c>
      <c r="AQ20" s="36">
        <v>0</v>
      </c>
      <c r="AR20" s="36">
        <v>0</v>
      </c>
      <c r="AS20" s="11">
        <v>0</v>
      </c>
      <c r="AT20" s="36">
        <v>0</v>
      </c>
      <c r="AU20" s="11">
        <v>0</v>
      </c>
      <c r="AV20" s="11">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row>
    <row r="21" spans="1:77">
      <c r="A21" s="23">
        <v>2012</v>
      </c>
      <c r="B21" s="23" t="s">
        <v>125</v>
      </c>
      <c r="C21" s="23" t="s">
        <v>126</v>
      </c>
      <c r="D21" s="23" t="s">
        <v>127</v>
      </c>
      <c r="E21" s="23" t="s">
        <v>89</v>
      </c>
      <c r="F21" s="23" t="s">
        <v>121</v>
      </c>
      <c r="G21" s="22" t="s">
        <v>99</v>
      </c>
      <c r="H21" s="59">
        <v>39555</v>
      </c>
      <c r="I21" s="59">
        <v>40633</v>
      </c>
      <c r="J21" s="22" t="s">
        <v>92</v>
      </c>
      <c r="K21" s="52"/>
      <c r="L21" s="18"/>
      <c r="M21" s="18">
        <v>0</v>
      </c>
      <c r="N21" s="18">
        <v>105</v>
      </c>
      <c r="O21" s="44">
        <v>105</v>
      </c>
      <c r="P21" s="18">
        <v>0</v>
      </c>
      <c r="Q21" s="18">
        <v>0</v>
      </c>
      <c r="R21" s="44">
        <v>0</v>
      </c>
      <c r="S21" s="44">
        <v>105</v>
      </c>
      <c r="T21" s="44"/>
      <c r="U21" s="51"/>
      <c r="V21" s="51">
        <v>0</v>
      </c>
      <c r="W21" s="51">
        <v>40</v>
      </c>
      <c r="X21" s="44">
        <v>40</v>
      </c>
      <c r="Y21" s="51">
        <v>0</v>
      </c>
      <c r="Z21" s="51">
        <v>0</v>
      </c>
      <c r="AA21" s="51">
        <v>0</v>
      </c>
      <c r="AB21" s="44">
        <v>40</v>
      </c>
      <c r="AC21" s="58" t="s">
        <v>93</v>
      </c>
      <c r="AD21" s="57"/>
      <c r="AE21" s="57"/>
      <c r="AF21" s="37" t="s">
        <v>94</v>
      </c>
      <c r="AG21" s="13">
        <v>183000</v>
      </c>
      <c r="AH21" s="13">
        <v>0</v>
      </c>
      <c r="AI21" s="13">
        <v>0</v>
      </c>
      <c r="AJ21" s="13">
        <v>0</v>
      </c>
      <c r="AK21" s="13">
        <v>0</v>
      </c>
      <c r="AL21" s="13">
        <v>0</v>
      </c>
      <c r="AM21" s="13">
        <v>122.4</v>
      </c>
      <c r="AN21" s="13">
        <v>0</v>
      </c>
      <c r="AO21" s="36">
        <v>0</v>
      </c>
      <c r="AP21" s="36">
        <v>0</v>
      </c>
      <c r="AQ21" s="11">
        <v>0</v>
      </c>
      <c r="AR21" s="36">
        <v>0</v>
      </c>
      <c r="AS21" s="11">
        <v>0</v>
      </c>
      <c r="AT21" s="11">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row>
    <row r="22" spans="1:77">
      <c r="A22" s="23">
        <v>2012</v>
      </c>
      <c r="B22" s="23">
        <v>7227</v>
      </c>
      <c r="C22" s="23" t="s">
        <v>128</v>
      </c>
      <c r="D22" s="23" t="s">
        <v>129</v>
      </c>
      <c r="E22" s="23" t="s">
        <v>89</v>
      </c>
      <c r="F22" s="23" t="s">
        <v>130</v>
      </c>
      <c r="G22" s="22" t="s">
        <v>99</v>
      </c>
      <c r="H22" s="59">
        <v>38734</v>
      </c>
      <c r="I22" s="59" t="s">
        <v>104</v>
      </c>
      <c r="J22" s="22" t="s">
        <v>92</v>
      </c>
      <c r="K22" s="52"/>
      <c r="L22" s="18"/>
      <c r="M22" s="18">
        <v>0</v>
      </c>
      <c r="N22" s="18">
        <v>2.6</v>
      </c>
      <c r="O22" s="44">
        <v>2.6</v>
      </c>
      <c r="P22" s="18">
        <v>0</v>
      </c>
      <c r="Q22" s="18">
        <v>0</v>
      </c>
      <c r="R22" s="44">
        <v>0</v>
      </c>
      <c r="S22" s="44">
        <v>2.6</v>
      </c>
      <c r="T22" s="44"/>
      <c r="U22" s="51"/>
      <c r="V22" s="51">
        <v>0</v>
      </c>
      <c r="W22" s="51">
        <v>2.6815642458100557</v>
      </c>
      <c r="X22" s="44">
        <v>2.6815642458100557</v>
      </c>
      <c r="Y22" s="51">
        <v>0</v>
      </c>
      <c r="Z22" s="51">
        <v>0</v>
      </c>
      <c r="AA22" s="51">
        <v>21.855160575512624</v>
      </c>
      <c r="AB22" s="44">
        <v>24.536724821322679</v>
      </c>
      <c r="AC22" s="58" t="s">
        <v>93</v>
      </c>
      <c r="AD22" s="57"/>
      <c r="AE22" s="57"/>
      <c r="AF22" s="37" t="s">
        <v>94</v>
      </c>
      <c r="AG22" s="13">
        <v>0</v>
      </c>
      <c r="AH22" s="13">
        <v>0</v>
      </c>
      <c r="AI22" s="13">
        <v>0</v>
      </c>
      <c r="AJ22" s="13">
        <v>0</v>
      </c>
      <c r="AK22" s="13">
        <v>0</v>
      </c>
      <c r="AL22" s="13">
        <v>0</v>
      </c>
      <c r="AM22" s="13">
        <v>0</v>
      </c>
      <c r="AN22" s="13">
        <v>0</v>
      </c>
      <c r="AO22" s="36">
        <v>226.70000000000002</v>
      </c>
      <c r="AP22" s="36">
        <v>0</v>
      </c>
      <c r="AQ22" s="11">
        <v>0</v>
      </c>
      <c r="AR22" s="36">
        <v>0</v>
      </c>
      <c r="AS22" s="11">
        <v>0</v>
      </c>
      <c r="AT22" s="11">
        <v>0</v>
      </c>
      <c r="AU22" s="36">
        <v>0</v>
      </c>
      <c r="AV22" s="36">
        <v>0</v>
      </c>
      <c r="AW22" s="36">
        <v>0</v>
      </c>
      <c r="AX22" s="36">
        <v>0</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0</v>
      </c>
      <c r="BX22" s="36">
        <v>0</v>
      </c>
      <c r="BY22" s="36">
        <v>0</v>
      </c>
    </row>
    <row r="23" spans="1:77">
      <c r="A23" s="23">
        <v>2012</v>
      </c>
      <c r="B23" s="23">
        <v>1870</v>
      </c>
      <c r="C23" s="23" t="s">
        <v>131</v>
      </c>
      <c r="D23" s="23" t="s">
        <v>132</v>
      </c>
      <c r="E23" s="23" t="s">
        <v>89</v>
      </c>
      <c r="F23" s="23" t="s">
        <v>110</v>
      </c>
      <c r="G23" s="22" t="s">
        <v>91</v>
      </c>
      <c r="H23" s="59">
        <v>37236</v>
      </c>
      <c r="I23" s="59">
        <v>40717</v>
      </c>
      <c r="J23" s="22" t="s">
        <v>92</v>
      </c>
      <c r="K23" s="52"/>
      <c r="L23" s="18"/>
      <c r="M23" s="18">
        <v>0</v>
      </c>
      <c r="N23" s="18">
        <v>210</v>
      </c>
      <c r="O23" s="44">
        <v>210</v>
      </c>
      <c r="P23" s="18">
        <v>0</v>
      </c>
      <c r="Q23" s="18">
        <v>113</v>
      </c>
      <c r="R23" s="44">
        <v>0</v>
      </c>
      <c r="S23" s="44">
        <v>323</v>
      </c>
      <c r="T23" s="44"/>
      <c r="U23" s="43"/>
      <c r="V23" s="43">
        <v>0</v>
      </c>
      <c r="W23" s="43">
        <v>79.2</v>
      </c>
      <c r="X23" s="44">
        <v>79.2</v>
      </c>
      <c r="Y23" s="43">
        <v>0</v>
      </c>
      <c r="Z23" s="43">
        <v>54.4</v>
      </c>
      <c r="AA23" s="43">
        <v>0</v>
      </c>
      <c r="AB23" s="44">
        <v>133.6</v>
      </c>
      <c r="AC23" s="58" t="s">
        <v>93</v>
      </c>
      <c r="AD23" s="57"/>
      <c r="AE23" s="57"/>
      <c r="AF23" s="37" t="s">
        <v>94</v>
      </c>
      <c r="AG23" s="13">
        <v>0</v>
      </c>
      <c r="AH23" s="13">
        <v>0</v>
      </c>
      <c r="AI23" s="13">
        <v>0</v>
      </c>
      <c r="AJ23" s="13">
        <v>0</v>
      </c>
      <c r="AK23" s="13">
        <v>0</v>
      </c>
      <c r="AL23" s="13">
        <v>0</v>
      </c>
      <c r="AM23" s="13">
        <v>0</v>
      </c>
      <c r="AN23" s="13">
        <v>0</v>
      </c>
      <c r="AO23" s="36">
        <v>0</v>
      </c>
      <c r="AP23" s="36">
        <v>0</v>
      </c>
      <c r="AQ23" s="36">
        <v>482934</v>
      </c>
      <c r="AR23" s="36">
        <v>0</v>
      </c>
      <c r="AS23" s="36">
        <v>230.94</v>
      </c>
      <c r="AT23" s="36">
        <v>149.22</v>
      </c>
      <c r="AU23" s="36">
        <v>81.72</v>
      </c>
      <c r="AV23" s="36">
        <v>230.94</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11">
        <v>0</v>
      </c>
      <c r="BM23" s="36">
        <v>0</v>
      </c>
      <c r="BN23" s="36">
        <v>0</v>
      </c>
      <c r="BO23" s="36">
        <v>0</v>
      </c>
      <c r="BP23" s="36">
        <v>0</v>
      </c>
      <c r="BQ23" s="36">
        <v>0</v>
      </c>
      <c r="BR23" s="36">
        <v>0</v>
      </c>
      <c r="BS23" s="36">
        <v>0</v>
      </c>
      <c r="BT23" s="36">
        <v>0</v>
      </c>
      <c r="BU23" s="36">
        <v>0</v>
      </c>
      <c r="BV23" s="36">
        <v>0</v>
      </c>
      <c r="BW23" s="36">
        <v>0</v>
      </c>
      <c r="BX23" s="36">
        <v>0</v>
      </c>
      <c r="BY23" s="36">
        <v>9279000</v>
      </c>
    </row>
    <row r="24" spans="1:77">
      <c r="A24" s="23">
        <v>2012</v>
      </c>
      <c r="B24" s="23">
        <v>1944</v>
      </c>
      <c r="C24" s="23" t="s">
        <v>133</v>
      </c>
      <c r="D24" s="23" t="s">
        <v>134</v>
      </c>
      <c r="E24" s="23" t="s">
        <v>89</v>
      </c>
      <c r="F24" s="23" t="s">
        <v>110</v>
      </c>
      <c r="G24" s="22" t="s">
        <v>91</v>
      </c>
      <c r="H24" s="56">
        <v>37586</v>
      </c>
      <c r="I24" s="56">
        <v>40049</v>
      </c>
      <c r="J24" s="20" t="s">
        <v>92</v>
      </c>
      <c r="K24" s="19"/>
      <c r="L24" s="55"/>
      <c r="M24" s="55">
        <v>0</v>
      </c>
      <c r="N24" s="55">
        <v>320</v>
      </c>
      <c r="O24" s="55">
        <v>320</v>
      </c>
      <c r="P24" s="18">
        <v>0</v>
      </c>
      <c r="Q24" s="55">
        <v>211</v>
      </c>
      <c r="R24" s="55">
        <v>45</v>
      </c>
      <c r="S24" s="44">
        <v>576</v>
      </c>
      <c r="T24" s="44"/>
      <c r="U24" s="43"/>
      <c r="V24" s="43">
        <v>0</v>
      </c>
      <c r="W24" s="40">
        <v>320</v>
      </c>
      <c r="X24" s="40">
        <v>320</v>
      </c>
      <c r="Y24" s="40">
        <v>0</v>
      </c>
      <c r="Z24" s="40">
        <v>260.3</v>
      </c>
      <c r="AA24" s="40">
        <v>63.9</v>
      </c>
      <c r="AB24" s="40">
        <v>644.19999999999993</v>
      </c>
      <c r="AC24" s="39" t="s">
        <v>93</v>
      </c>
      <c r="AD24" s="38"/>
      <c r="AE24" s="38"/>
      <c r="AF24" s="37" t="s">
        <v>94</v>
      </c>
      <c r="AG24" s="13">
        <v>0</v>
      </c>
      <c r="AH24" s="13">
        <v>0</v>
      </c>
      <c r="AI24" s="13">
        <v>0</v>
      </c>
      <c r="AJ24" s="13">
        <v>0</v>
      </c>
      <c r="AK24" s="13">
        <v>0</v>
      </c>
      <c r="AL24" s="13">
        <v>0</v>
      </c>
      <c r="AM24" s="13">
        <v>0</v>
      </c>
      <c r="AN24" s="13">
        <v>0</v>
      </c>
      <c r="AO24" s="36">
        <v>0</v>
      </c>
      <c r="AP24" s="36">
        <v>0</v>
      </c>
      <c r="AQ24" s="36">
        <v>1946073</v>
      </c>
      <c r="AR24" s="36">
        <v>0</v>
      </c>
      <c r="AS24" s="36">
        <v>503</v>
      </c>
      <c r="AT24" s="36">
        <v>503</v>
      </c>
      <c r="AU24" s="36">
        <v>0</v>
      </c>
      <c r="AV24" s="36">
        <v>503</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row>
    <row r="25" spans="1:77">
      <c r="A25" s="23">
        <v>2012</v>
      </c>
      <c r="B25" s="23">
        <v>2248</v>
      </c>
      <c r="C25" s="23" t="s">
        <v>135</v>
      </c>
      <c r="D25" s="23" t="s">
        <v>136</v>
      </c>
      <c r="E25" s="23" t="s">
        <v>89</v>
      </c>
      <c r="F25" s="23" t="s">
        <v>137</v>
      </c>
      <c r="G25" s="22" t="s">
        <v>91</v>
      </c>
      <c r="H25" s="53">
        <v>38929</v>
      </c>
      <c r="I25" s="53">
        <v>40095</v>
      </c>
      <c r="J25" s="22" t="s">
        <v>92</v>
      </c>
      <c r="K25" s="52"/>
      <c r="L25" s="18"/>
      <c r="M25" s="18">
        <v>0</v>
      </c>
      <c r="N25" s="18">
        <v>180</v>
      </c>
      <c r="O25" s="18">
        <v>180</v>
      </c>
      <c r="P25" s="18">
        <v>0</v>
      </c>
      <c r="Q25" s="18">
        <v>56</v>
      </c>
      <c r="R25" s="18">
        <v>0</v>
      </c>
      <c r="S25" s="44">
        <v>236</v>
      </c>
      <c r="T25" s="44"/>
      <c r="U25" s="43"/>
      <c r="V25" s="43">
        <v>0</v>
      </c>
      <c r="W25" s="17">
        <v>173.9</v>
      </c>
      <c r="X25" s="17">
        <v>173.9</v>
      </c>
      <c r="Y25" s="17">
        <v>0</v>
      </c>
      <c r="Z25" s="17">
        <v>59.5</v>
      </c>
      <c r="AA25" s="40">
        <v>0</v>
      </c>
      <c r="AB25" s="40">
        <v>233.4</v>
      </c>
      <c r="AC25" s="39" t="s">
        <v>93</v>
      </c>
      <c r="AD25" s="38"/>
      <c r="AE25" s="38"/>
      <c r="AF25" s="37" t="s">
        <v>94</v>
      </c>
      <c r="AG25" s="13">
        <v>0</v>
      </c>
      <c r="AH25" s="13">
        <v>0</v>
      </c>
      <c r="AI25" s="13">
        <v>0</v>
      </c>
      <c r="AJ25" s="13">
        <v>0</v>
      </c>
      <c r="AK25" s="13">
        <v>0</v>
      </c>
      <c r="AL25" s="13">
        <v>0</v>
      </c>
      <c r="AM25" s="13">
        <v>0</v>
      </c>
      <c r="AN25" s="13">
        <v>0</v>
      </c>
      <c r="AO25" s="36">
        <v>0</v>
      </c>
      <c r="AP25" s="36">
        <v>0</v>
      </c>
      <c r="AQ25" s="36">
        <v>516763</v>
      </c>
      <c r="AR25" s="36">
        <v>0</v>
      </c>
      <c r="AS25" s="36">
        <v>2927.13</v>
      </c>
      <c r="AT25" s="36">
        <v>0</v>
      </c>
      <c r="AU25" s="36">
        <v>2927.13</v>
      </c>
      <c r="AV25" s="36">
        <v>2927.13</v>
      </c>
      <c r="AW25" s="36">
        <v>0</v>
      </c>
      <c r="AX25" s="36">
        <v>0</v>
      </c>
      <c r="AY25" s="36">
        <v>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row>
    <row r="26" spans="1:77">
      <c r="A26" s="23">
        <v>2012</v>
      </c>
      <c r="B26" s="23">
        <v>2414</v>
      </c>
      <c r="C26" s="23" t="s">
        <v>138</v>
      </c>
      <c r="D26" s="23" t="s">
        <v>139</v>
      </c>
      <c r="E26" s="23" t="s">
        <v>89</v>
      </c>
      <c r="F26" s="23" t="s">
        <v>137</v>
      </c>
      <c r="G26" s="22" t="s">
        <v>91</v>
      </c>
      <c r="H26" s="53">
        <v>39524</v>
      </c>
      <c r="I26" s="53">
        <v>40640</v>
      </c>
      <c r="J26" s="22" t="s">
        <v>92</v>
      </c>
      <c r="K26" s="52"/>
      <c r="L26" s="18"/>
      <c r="M26" s="18">
        <v>0</v>
      </c>
      <c r="N26" s="18">
        <v>77.650000000000006</v>
      </c>
      <c r="O26" s="18">
        <v>77.650000000000006</v>
      </c>
      <c r="P26" s="18">
        <v>0</v>
      </c>
      <c r="Q26" s="18">
        <v>0</v>
      </c>
      <c r="R26" s="18">
        <v>0</v>
      </c>
      <c r="S26" s="44">
        <v>77.650000000000006</v>
      </c>
      <c r="T26" s="44"/>
      <c r="U26" s="17"/>
      <c r="V26" s="17">
        <v>0</v>
      </c>
      <c r="W26" s="43">
        <v>38.1</v>
      </c>
      <c r="X26" s="17">
        <v>38.1</v>
      </c>
      <c r="Y26" s="17">
        <v>0</v>
      </c>
      <c r="Z26" s="17">
        <v>27.38</v>
      </c>
      <c r="AA26" s="40">
        <v>0</v>
      </c>
      <c r="AB26" s="40">
        <v>65.48</v>
      </c>
      <c r="AC26" s="39" t="s">
        <v>93</v>
      </c>
      <c r="AD26" s="38"/>
      <c r="AE26" s="38"/>
      <c r="AF26" s="37" t="s">
        <v>94</v>
      </c>
      <c r="AG26" s="13">
        <v>0</v>
      </c>
      <c r="AH26" s="13">
        <v>0</v>
      </c>
      <c r="AI26" s="13">
        <v>0</v>
      </c>
      <c r="AJ26" s="13">
        <v>0</v>
      </c>
      <c r="AK26" s="13">
        <v>0</v>
      </c>
      <c r="AL26" s="13">
        <v>0</v>
      </c>
      <c r="AM26" s="13">
        <v>0</v>
      </c>
      <c r="AN26" s="13">
        <v>0</v>
      </c>
      <c r="AO26" s="36">
        <v>0</v>
      </c>
      <c r="AP26" s="36">
        <v>0</v>
      </c>
      <c r="AQ26" s="36">
        <v>105429</v>
      </c>
      <c r="AR26" s="36">
        <v>0</v>
      </c>
      <c r="AS26" s="36">
        <v>1013.72</v>
      </c>
      <c r="AT26" s="36">
        <v>0</v>
      </c>
      <c r="AU26" s="36">
        <v>1013.72</v>
      </c>
      <c r="AV26" s="36">
        <v>1013.72</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row>
    <row r="27" spans="1:77">
      <c r="A27" s="23">
        <v>2012</v>
      </c>
      <c r="B27" s="23">
        <v>1704</v>
      </c>
      <c r="C27" s="23" t="s">
        <v>140</v>
      </c>
      <c r="D27" s="23" t="s">
        <v>141</v>
      </c>
      <c r="E27" s="23" t="s">
        <v>89</v>
      </c>
      <c r="F27" s="23" t="s">
        <v>110</v>
      </c>
      <c r="G27" s="22" t="s">
        <v>91</v>
      </c>
      <c r="H27" s="53">
        <v>36459</v>
      </c>
      <c r="I27" s="53">
        <v>40142</v>
      </c>
      <c r="J27" s="22" t="s">
        <v>92</v>
      </c>
      <c r="K27" s="52"/>
      <c r="L27" s="18"/>
      <c r="M27" s="18">
        <v>0</v>
      </c>
      <c r="N27" s="18">
        <v>175</v>
      </c>
      <c r="O27" s="18">
        <v>175</v>
      </c>
      <c r="P27" s="18">
        <v>0</v>
      </c>
      <c r="Q27" s="18">
        <v>76.400000000000006</v>
      </c>
      <c r="R27" s="18">
        <v>0</v>
      </c>
      <c r="S27" s="44">
        <v>251.4</v>
      </c>
      <c r="T27" s="44"/>
      <c r="U27" s="17"/>
      <c r="V27" s="17">
        <v>0</v>
      </c>
      <c r="W27" s="43">
        <v>145</v>
      </c>
      <c r="X27" s="17">
        <v>145</v>
      </c>
      <c r="Y27" s="17">
        <v>0</v>
      </c>
      <c r="Z27" s="17">
        <v>95.87</v>
      </c>
      <c r="AA27" s="17">
        <v>0</v>
      </c>
      <c r="AB27" s="40">
        <v>240.87</v>
      </c>
      <c r="AC27" s="39" t="s">
        <v>93</v>
      </c>
      <c r="AD27" s="38"/>
      <c r="AE27" s="38"/>
      <c r="AF27" s="37" t="s">
        <v>94</v>
      </c>
      <c r="AG27" s="13">
        <v>0</v>
      </c>
      <c r="AH27" s="13">
        <v>0</v>
      </c>
      <c r="AI27" s="13">
        <v>0</v>
      </c>
      <c r="AJ27" s="13">
        <v>0</v>
      </c>
      <c r="AK27" s="13">
        <v>0</v>
      </c>
      <c r="AL27" s="13">
        <v>0</v>
      </c>
      <c r="AM27" s="13">
        <v>0</v>
      </c>
      <c r="AN27" s="13">
        <v>0</v>
      </c>
      <c r="AO27" s="36">
        <v>0</v>
      </c>
      <c r="AP27" s="36">
        <v>0</v>
      </c>
      <c r="AQ27" s="36">
        <v>244007</v>
      </c>
      <c r="AR27" s="36">
        <v>0</v>
      </c>
      <c r="AS27" s="36">
        <v>172</v>
      </c>
      <c r="AT27" s="36">
        <v>0</v>
      </c>
      <c r="AU27" s="36">
        <v>172</v>
      </c>
      <c r="AV27" s="36">
        <v>0</v>
      </c>
      <c r="AW27" s="36">
        <v>172</v>
      </c>
      <c r="AX27" s="36">
        <v>0</v>
      </c>
      <c r="AY27" s="36">
        <v>0</v>
      </c>
      <c r="AZ27" s="36">
        <v>0</v>
      </c>
      <c r="BA27" s="36">
        <v>212770</v>
      </c>
      <c r="BB27" s="36">
        <v>0</v>
      </c>
      <c r="BC27" s="36">
        <v>212770</v>
      </c>
      <c r="BD27" s="36">
        <v>93700</v>
      </c>
      <c r="BE27" s="36">
        <v>130500</v>
      </c>
      <c r="BF27" s="36">
        <v>2000</v>
      </c>
      <c r="BG27" s="36">
        <v>50</v>
      </c>
      <c r="BH27" s="36">
        <v>170000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row>
    <row r="28" spans="1:77">
      <c r="A28" s="23">
        <v>2012</v>
      </c>
      <c r="B28" s="23">
        <v>2166</v>
      </c>
      <c r="C28" s="23" t="s">
        <v>142</v>
      </c>
      <c r="D28" s="23" t="s">
        <v>143</v>
      </c>
      <c r="E28" s="23" t="s">
        <v>89</v>
      </c>
      <c r="F28" s="23" t="s">
        <v>108</v>
      </c>
      <c r="G28" s="22" t="s">
        <v>91</v>
      </c>
      <c r="H28" s="53">
        <v>38456</v>
      </c>
      <c r="I28" s="53">
        <v>40218</v>
      </c>
      <c r="J28" s="22" t="s">
        <v>92</v>
      </c>
      <c r="K28" s="52"/>
      <c r="L28" s="18"/>
      <c r="M28" s="18">
        <v>0</v>
      </c>
      <c r="N28" s="18">
        <v>100</v>
      </c>
      <c r="O28" s="18">
        <v>100</v>
      </c>
      <c r="P28" s="18">
        <v>0</v>
      </c>
      <c r="Q28" s="18">
        <v>18.600000000000001</v>
      </c>
      <c r="R28" s="18">
        <v>0</v>
      </c>
      <c r="S28" s="44">
        <v>118.6</v>
      </c>
      <c r="T28" s="44"/>
      <c r="U28" s="43"/>
      <c r="V28" s="43">
        <v>0</v>
      </c>
      <c r="W28" s="41">
        <v>98.27</v>
      </c>
      <c r="X28" s="41">
        <v>98.27</v>
      </c>
      <c r="Y28" s="41">
        <v>0</v>
      </c>
      <c r="Z28" s="54">
        <v>14.13</v>
      </c>
      <c r="AA28" s="41">
        <v>0</v>
      </c>
      <c r="AB28" s="40">
        <v>112.39999999999999</v>
      </c>
      <c r="AC28" s="39" t="s">
        <v>93</v>
      </c>
      <c r="AD28" s="38"/>
      <c r="AE28" s="38"/>
      <c r="AF28" s="37" t="s">
        <v>93</v>
      </c>
      <c r="AG28" s="13">
        <v>0</v>
      </c>
      <c r="AH28" s="13">
        <v>0</v>
      </c>
      <c r="AI28" s="13">
        <v>0</v>
      </c>
      <c r="AJ28" s="13">
        <v>6174</v>
      </c>
      <c r="AK28" s="13">
        <v>6174</v>
      </c>
      <c r="AL28" s="13">
        <v>0</v>
      </c>
      <c r="AM28" s="13">
        <v>0</v>
      </c>
      <c r="AN28" s="13">
        <v>0</v>
      </c>
      <c r="AO28" s="36">
        <v>0</v>
      </c>
      <c r="AP28" s="36">
        <v>2371</v>
      </c>
      <c r="AQ28" s="36">
        <v>0</v>
      </c>
      <c r="AR28" s="36">
        <v>0</v>
      </c>
      <c r="AS28" s="36">
        <v>1096</v>
      </c>
      <c r="AT28" s="36">
        <v>86</v>
      </c>
      <c r="AU28" s="36">
        <v>1010</v>
      </c>
      <c r="AV28" s="36">
        <v>1096</v>
      </c>
      <c r="AW28" s="36">
        <v>0</v>
      </c>
      <c r="AX28" s="36">
        <v>0</v>
      </c>
      <c r="AY28" s="36">
        <v>0</v>
      </c>
      <c r="AZ28" s="36">
        <v>0</v>
      </c>
      <c r="BA28" s="36">
        <v>415807</v>
      </c>
      <c r="BB28" s="36">
        <v>415807</v>
      </c>
      <c r="BC28" s="36">
        <v>0</v>
      </c>
      <c r="BD28" s="36">
        <v>1680</v>
      </c>
      <c r="BE28" s="36">
        <v>0</v>
      </c>
      <c r="BF28" s="36">
        <v>1150</v>
      </c>
      <c r="BG28" s="36">
        <v>0</v>
      </c>
      <c r="BH28" s="36">
        <v>0</v>
      </c>
      <c r="BI28" s="36">
        <v>491312</v>
      </c>
      <c r="BJ28" s="36">
        <v>442180.8</v>
      </c>
      <c r="BK28" s="36">
        <v>49131.200000000012</v>
      </c>
      <c r="BL28" s="36">
        <v>0</v>
      </c>
      <c r="BM28" s="36">
        <v>0</v>
      </c>
      <c r="BN28" s="36">
        <v>0</v>
      </c>
      <c r="BO28" s="36">
        <v>0</v>
      </c>
      <c r="BP28" s="36">
        <v>0</v>
      </c>
      <c r="BQ28" s="36">
        <v>0</v>
      </c>
      <c r="BR28" s="36">
        <v>0</v>
      </c>
      <c r="BS28" s="36">
        <v>0</v>
      </c>
      <c r="BT28" s="36">
        <v>0</v>
      </c>
      <c r="BU28" s="36">
        <v>0</v>
      </c>
      <c r="BV28" s="36">
        <v>0</v>
      </c>
      <c r="BW28" s="36">
        <v>0</v>
      </c>
      <c r="BX28" s="36">
        <v>0</v>
      </c>
      <c r="BY28" s="36">
        <v>0</v>
      </c>
    </row>
    <row r="29" spans="1:77">
      <c r="A29" s="23">
        <v>2012</v>
      </c>
      <c r="B29" s="23" t="s">
        <v>144</v>
      </c>
      <c r="C29" s="23" t="s">
        <v>142</v>
      </c>
      <c r="D29" s="23" t="s">
        <v>143</v>
      </c>
      <c r="E29" s="23" t="s">
        <v>89</v>
      </c>
      <c r="F29" s="23" t="s">
        <v>108</v>
      </c>
      <c r="G29" s="22" t="s">
        <v>91</v>
      </c>
      <c r="H29" s="53">
        <v>38456</v>
      </c>
      <c r="I29" s="53">
        <v>40232</v>
      </c>
      <c r="J29" s="22" t="s">
        <v>145</v>
      </c>
      <c r="K29" s="52"/>
      <c r="L29" s="18"/>
      <c r="M29" s="18">
        <v>0</v>
      </c>
      <c r="N29" s="18">
        <v>0</v>
      </c>
      <c r="O29" s="18">
        <v>0</v>
      </c>
      <c r="P29" s="18">
        <v>0</v>
      </c>
      <c r="Q29" s="18">
        <v>0</v>
      </c>
      <c r="R29" s="18">
        <v>100</v>
      </c>
      <c r="S29" s="44">
        <v>100</v>
      </c>
      <c r="T29" s="44"/>
      <c r="U29" s="43"/>
      <c r="V29" s="43">
        <v>0</v>
      </c>
      <c r="W29" s="51">
        <v>0</v>
      </c>
      <c r="X29" s="51">
        <v>0</v>
      </c>
      <c r="Y29" s="41">
        <v>0</v>
      </c>
      <c r="Z29" s="41">
        <v>0</v>
      </c>
      <c r="AA29" s="51">
        <v>100</v>
      </c>
      <c r="AB29" s="40">
        <v>100</v>
      </c>
      <c r="AC29" s="39" t="s">
        <v>93</v>
      </c>
      <c r="AD29" s="38"/>
      <c r="AE29" s="38"/>
      <c r="AF29" s="37" t="s">
        <v>93</v>
      </c>
      <c r="AG29" s="13">
        <v>0</v>
      </c>
      <c r="AH29" s="13">
        <v>0</v>
      </c>
      <c r="AI29" s="13">
        <v>0</v>
      </c>
      <c r="AJ29" s="13">
        <v>0</v>
      </c>
      <c r="AK29" s="13">
        <v>0</v>
      </c>
      <c r="AL29" s="13">
        <v>0</v>
      </c>
      <c r="AM29" s="13">
        <v>0</v>
      </c>
      <c r="AN29" s="13">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row>
    <row r="30" spans="1:77">
      <c r="A30" s="23">
        <v>2012</v>
      </c>
      <c r="B30" s="23">
        <v>2404</v>
      </c>
      <c r="C30" s="23" t="s">
        <v>146</v>
      </c>
      <c r="D30" s="23" t="s">
        <v>147</v>
      </c>
      <c r="E30" s="23" t="s">
        <v>89</v>
      </c>
      <c r="F30" s="23" t="s">
        <v>137</v>
      </c>
      <c r="G30" s="22" t="s">
        <v>91</v>
      </c>
      <c r="H30" s="49">
        <v>39436</v>
      </c>
      <c r="I30" s="50">
        <v>40193</v>
      </c>
      <c r="J30" s="47" t="s">
        <v>92</v>
      </c>
      <c r="K30" s="46"/>
      <c r="L30" s="45"/>
      <c r="M30" s="45">
        <v>0</v>
      </c>
      <c r="N30" s="45">
        <v>300</v>
      </c>
      <c r="O30" s="45">
        <v>300</v>
      </c>
      <c r="P30" s="18">
        <v>2500</v>
      </c>
      <c r="Q30" s="45">
        <v>0</v>
      </c>
      <c r="R30" s="45">
        <v>3000</v>
      </c>
      <c r="S30" s="44">
        <v>5800</v>
      </c>
      <c r="T30" s="44"/>
      <c r="U30" s="42"/>
      <c r="V30" s="42">
        <v>0</v>
      </c>
      <c r="W30" s="43">
        <v>300</v>
      </c>
      <c r="X30" s="42">
        <v>300</v>
      </c>
      <c r="Y30" s="41">
        <v>0</v>
      </c>
      <c r="Z30" s="42">
        <v>0</v>
      </c>
      <c r="AA30" s="41">
        <v>0</v>
      </c>
      <c r="AB30" s="40">
        <v>300</v>
      </c>
      <c r="AC30" s="39" t="s">
        <v>93</v>
      </c>
      <c r="AD30" s="38"/>
      <c r="AE30" s="38"/>
      <c r="AF30" s="37" t="s">
        <v>93</v>
      </c>
      <c r="AG30" s="13">
        <v>0</v>
      </c>
      <c r="AH30" s="13">
        <v>0</v>
      </c>
      <c r="AI30" s="13">
        <v>0</v>
      </c>
      <c r="AJ30" s="13">
        <v>0</v>
      </c>
      <c r="AK30" s="13">
        <v>0</v>
      </c>
      <c r="AL30" s="13">
        <v>0</v>
      </c>
      <c r="AM30" s="13">
        <v>0</v>
      </c>
      <c r="AN30" s="13">
        <v>0</v>
      </c>
      <c r="AO30" s="36">
        <v>0</v>
      </c>
      <c r="AP30" s="36">
        <v>0</v>
      </c>
      <c r="AQ30" s="36">
        <v>0</v>
      </c>
      <c r="AR30" s="36">
        <v>0</v>
      </c>
      <c r="AS30" s="36">
        <v>0</v>
      </c>
      <c r="AT30" s="36">
        <v>0</v>
      </c>
      <c r="AU30" s="35">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row>
    <row r="31" spans="1:77">
      <c r="A31" s="23">
        <v>2012</v>
      </c>
      <c r="B31" s="23">
        <v>2509</v>
      </c>
      <c r="C31" s="23" t="s">
        <v>148</v>
      </c>
      <c r="D31" s="23" t="s">
        <v>147</v>
      </c>
      <c r="E31" s="23" t="s">
        <v>89</v>
      </c>
      <c r="F31" s="23" t="s">
        <v>137</v>
      </c>
      <c r="G31" s="22" t="s">
        <v>91</v>
      </c>
      <c r="H31" s="49">
        <v>39868</v>
      </c>
      <c r="I31" s="48">
        <v>40781</v>
      </c>
      <c r="J31" s="47" t="s">
        <v>92</v>
      </c>
      <c r="K31" s="46"/>
      <c r="L31" s="45"/>
      <c r="M31" s="45">
        <v>0</v>
      </c>
      <c r="N31" s="45">
        <v>200</v>
      </c>
      <c r="O31" s="45">
        <v>200</v>
      </c>
      <c r="P31" s="18">
        <v>0</v>
      </c>
      <c r="Q31" s="45">
        <v>0</v>
      </c>
      <c r="R31" s="45">
        <v>0</v>
      </c>
      <c r="S31" s="44">
        <v>200</v>
      </c>
      <c r="T31" s="44"/>
      <c r="U31" s="43"/>
      <c r="V31" s="43">
        <v>0</v>
      </c>
      <c r="W31" s="42">
        <v>200</v>
      </c>
      <c r="X31" s="42">
        <v>200</v>
      </c>
      <c r="Y31" s="41">
        <v>0</v>
      </c>
      <c r="Z31" s="42">
        <v>0</v>
      </c>
      <c r="AA31" s="41">
        <v>0</v>
      </c>
      <c r="AB31" s="40">
        <v>200</v>
      </c>
      <c r="AC31" s="39" t="s">
        <v>93</v>
      </c>
      <c r="AD31" s="38"/>
      <c r="AE31" s="38"/>
      <c r="AF31" s="37" t="s">
        <v>93</v>
      </c>
      <c r="AG31" s="13">
        <v>0</v>
      </c>
      <c r="AH31" s="13">
        <v>0</v>
      </c>
      <c r="AI31" s="13">
        <v>0</v>
      </c>
      <c r="AJ31" s="13">
        <v>0</v>
      </c>
      <c r="AK31" s="13">
        <v>0</v>
      </c>
      <c r="AL31" s="13">
        <v>0</v>
      </c>
      <c r="AM31" s="13">
        <v>0</v>
      </c>
      <c r="AN31" s="13">
        <v>0</v>
      </c>
      <c r="AO31" s="36">
        <v>0</v>
      </c>
      <c r="AP31" s="36">
        <v>0</v>
      </c>
      <c r="AQ31" s="36">
        <v>0</v>
      </c>
      <c r="AR31" s="36">
        <v>0</v>
      </c>
      <c r="AS31" s="36">
        <v>0</v>
      </c>
      <c r="AT31" s="36">
        <v>0</v>
      </c>
      <c r="AU31" s="36">
        <v>0</v>
      </c>
      <c r="AV31" s="36">
        <v>0</v>
      </c>
      <c r="AW31" s="36">
        <v>0</v>
      </c>
      <c r="AX31" s="36">
        <v>0</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5">
        <v>0</v>
      </c>
    </row>
    <row r="32" spans="1:77">
      <c r="A32" s="23">
        <v>2013</v>
      </c>
      <c r="B32" s="23">
        <v>2323</v>
      </c>
      <c r="C32" s="23" t="s">
        <v>149</v>
      </c>
      <c r="D32" s="23" t="s">
        <v>150</v>
      </c>
      <c r="E32" s="23" t="s">
        <v>89</v>
      </c>
      <c r="F32" s="23" t="s">
        <v>151</v>
      </c>
      <c r="G32" s="22" t="s">
        <v>91</v>
      </c>
      <c r="H32" s="31">
        <v>39176</v>
      </c>
      <c r="I32" s="31">
        <v>41305</v>
      </c>
      <c r="J32" s="20" t="s">
        <v>92</v>
      </c>
      <c r="K32" s="19"/>
      <c r="L32" s="27"/>
      <c r="M32" s="27">
        <v>0</v>
      </c>
      <c r="N32" s="18">
        <v>106</v>
      </c>
      <c r="O32" s="18">
        <v>106</v>
      </c>
      <c r="P32" s="26">
        <v>0</v>
      </c>
      <c r="Q32" s="26">
        <v>11</v>
      </c>
      <c r="R32" s="25">
        <v>0</v>
      </c>
      <c r="S32" s="24">
        <v>117</v>
      </c>
      <c r="T32" s="18"/>
      <c r="U32" s="17"/>
      <c r="V32" s="17">
        <v>0</v>
      </c>
      <c r="W32" s="17">
        <v>97.27</v>
      </c>
      <c r="X32" s="17">
        <v>97.27</v>
      </c>
      <c r="Y32" s="17">
        <v>0</v>
      </c>
      <c r="Z32" s="17">
        <v>16.78</v>
      </c>
      <c r="AA32" s="17">
        <v>0</v>
      </c>
      <c r="AB32" s="17">
        <v>114.05</v>
      </c>
      <c r="AC32" s="16" t="s">
        <v>93</v>
      </c>
      <c r="AD32" s="15"/>
      <c r="AE32" s="15"/>
      <c r="AF32" s="14" t="s">
        <v>94</v>
      </c>
      <c r="AG32" s="13">
        <v>0</v>
      </c>
      <c r="AH32" s="13">
        <v>0</v>
      </c>
      <c r="AI32" s="12">
        <v>0</v>
      </c>
      <c r="AJ32" s="12">
        <v>0</v>
      </c>
      <c r="AK32" s="12">
        <v>0</v>
      </c>
      <c r="AL32" s="12">
        <v>0</v>
      </c>
      <c r="AM32" s="12">
        <v>0</v>
      </c>
      <c r="AN32" s="11">
        <v>0</v>
      </c>
      <c r="AO32" s="11">
        <v>1437</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c r="A33" s="23">
        <v>2013</v>
      </c>
      <c r="B33" s="23" t="s">
        <v>152</v>
      </c>
      <c r="C33" s="23" t="s">
        <v>153</v>
      </c>
      <c r="D33" s="23" t="s">
        <v>154</v>
      </c>
      <c r="E33" s="23" t="s">
        <v>89</v>
      </c>
      <c r="F33" s="23" t="s">
        <v>155</v>
      </c>
      <c r="G33" s="22" t="s">
        <v>91</v>
      </c>
      <c r="H33" s="34">
        <v>38337</v>
      </c>
      <c r="I33" s="34">
        <v>40945</v>
      </c>
      <c r="J33" s="20" t="s">
        <v>92</v>
      </c>
      <c r="K33" s="19"/>
      <c r="L33" s="27"/>
      <c r="M33" s="27">
        <v>0</v>
      </c>
      <c r="N33" s="18">
        <v>250</v>
      </c>
      <c r="O33" s="18">
        <v>250</v>
      </c>
      <c r="P33" s="26">
        <v>0</v>
      </c>
      <c r="Q33" s="26">
        <v>0</v>
      </c>
      <c r="R33" s="25">
        <v>0</v>
      </c>
      <c r="S33" s="24">
        <v>250</v>
      </c>
      <c r="T33" s="18"/>
      <c r="U33" s="17"/>
      <c r="V33" s="17">
        <v>0</v>
      </c>
      <c r="W33" s="17">
        <v>247.03</v>
      </c>
      <c r="X33" s="17">
        <v>247.03</v>
      </c>
      <c r="Y33" s="17">
        <v>0</v>
      </c>
      <c r="Z33" s="17">
        <v>0</v>
      </c>
      <c r="AA33" s="17">
        <v>0</v>
      </c>
      <c r="AB33" s="17">
        <v>247.03</v>
      </c>
      <c r="AC33" s="16" t="s">
        <v>93</v>
      </c>
      <c r="AD33" s="15"/>
      <c r="AE33" s="15"/>
      <c r="AF33" s="14" t="s">
        <v>93</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c r="A34" s="23">
        <v>2013</v>
      </c>
      <c r="B34" s="23">
        <v>7181</v>
      </c>
      <c r="C34" s="23" t="s">
        <v>156</v>
      </c>
      <c r="D34" s="23">
        <v>36909</v>
      </c>
      <c r="E34" s="23" t="s">
        <v>89</v>
      </c>
      <c r="F34" s="23" t="s">
        <v>98</v>
      </c>
      <c r="G34" s="22" t="s">
        <v>99</v>
      </c>
      <c r="H34" s="28">
        <v>37591</v>
      </c>
      <c r="I34" s="28" t="s">
        <v>104</v>
      </c>
      <c r="J34" s="20" t="s">
        <v>92</v>
      </c>
      <c r="K34" s="19"/>
      <c r="L34" s="27"/>
      <c r="M34" s="27">
        <v>0</v>
      </c>
      <c r="N34" s="18">
        <v>15</v>
      </c>
      <c r="O34" s="18">
        <v>15</v>
      </c>
      <c r="P34" s="26">
        <v>0</v>
      </c>
      <c r="Q34" s="26">
        <v>0</v>
      </c>
      <c r="R34" s="25">
        <v>0</v>
      </c>
      <c r="S34" s="24">
        <v>15</v>
      </c>
      <c r="T34" s="18"/>
      <c r="U34" s="17"/>
      <c r="V34" s="17">
        <v>0</v>
      </c>
      <c r="W34" s="17">
        <v>10.8</v>
      </c>
      <c r="X34" s="17">
        <v>10.8</v>
      </c>
      <c r="Y34" s="17">
        <v>0</v>
      </c>
      <c r="Z34" s="17">
        <v>0</v>
      </c>
      <c r="AA34" s="17">
        <v>0</v>
      </c>
      <c r="AB34" s="17">
        <v>10.8</v>
      </c>
      <c r="AC34" s="16" t="s">
        <v>93</v>
      </c>
      <c r="AD34" s="15"/>
      <c r="AE34" s="15"/>
      <c r="AF34" s="14" t="s">
        <v>93</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c r="A35" s="23">
        <v>2013</v>
      </c>
      <c r="B35" s="23" t="s">
        <v>157</v>
      </c>
      <c r="C35" s="23" t="s">
        <v>158</v>
      </c>
      <c r="D35" s="23" t="s">
        <v>159</v>
      </c>
      <c r="E35" s="23" t="s">
        <v>89</v>
      </c>
      <c r="F35" s="23" t="s">
        <v>103</v>
      </c>
      <c r="G35" s="22" t="s">
        <v>99</v>
      </c>
      <c r="H35" s="33">
        <v>38925</v>
      </c>
      <c r="I35" s="32" t="s">
        <v>104</v>
      </c>
      <c r="J35" s="20" t="s">
        <v>92</v>
      </c>
      <c r="K35" s="19"/>
      <c r="L35" s="27"/>
      <c r="M35" s="27">
        <v>0</v>
      </c>
      <c r="N35" s="18">
        <v>75</v>
      </c>
      <c r="O35" s="18">
        <v>75</v>
      </c>
      <c r="P35" s="26">
        <v>225</v>
      </c>
      <c r="Q35" s="26">
        <v>0</v>
      </c>
      <c r="R35" s="25">
        <v>0</v>
      </c>
      <c r="S35" s="24">
        <v>300</v>
      </c>
      <c r="T35" s="18"/>
      <c r="U35" s="17"/>
      <c r="V35" s="17">
        <v>0</v>
      </c>
      <c r="W35" s="17">
        <v>75</v>
      </c>
      <c r="X35" s="17">
        <v>75</v>
      </c>
      <c r="Y35" s="17">
        <v>2.25</v>
      </c>
      <c r="Z35" s="17">
        <v>0</v>
      </c>
      <c r="AA35" s="17">
        <v>0</v>
      </c>
      <c r="AB35" s="17">
        <v>77.25</v>
      </c>
      <c r="AC35" s="16" t="s">
        <v>94</v>
      </c>
      <c r="AD35" s="15"/>
      <c r="AE35" s="15"/>
      <c r="AF35" s="14" t="s">
        <v>94</v>
      </c>
      <c r="AG35" s="13">
        <v>0</v>
      </c>
      <c r="AH35" s="13">
        <v>0</v>
      </c>
      <c r="AI35" s="12">
        <v>0</v>
      </c>
      <c r="AJ35" s="12">
        <v>0</v>
      </c>
      <c r="AK35" s="12">
        <v>0</v>
      </c>
      <c r="AL35" s="12">
        <v>0</v>
      </c>
      <c r="AM35" s="12">
        <v>4480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2014</v>
      </c>
      <c r="B36" s="23">
        <v>1839</v>
      </c>
      <c r="C36" s="23" t="s">
        <v>160</v>
      </c>
      <c r="D36" s="23">
        <v>31435</v>
      </c>
      <c r="E36" s="23" t="s">
        <v>89</v>
      </c>
      <c r="F36" s="23" t="s">
        <v>110</v>
      </c>
      <c r="G36" s="22" t="s">
        <v>91</v>
      </c>
      <c r="H36" s="28">
        <v>37154</v>
      </c>
      <c r="I36" s="28">
        <v>39686</v>
      </c>
      <c r="J36" s="20" t="s">
        <v>92</v>
      </c>
      <c r="K36" s="19"/>
      <c r="L36" s="27"/>
      <c r="M36" s="27">
        <v>0</v>
      </c>
      <c r="N36" s="18">
        <v>240</v>
      </c>
      <c r="O36" s="18">
        <v>240</v>
      </c>
      <c r="P36" s="26">
        <v>0</v>
      </c>
      <c r="Q36" s="26">
        <v>138</v>
      </c>
      <c r="R36" s="25">
        <v>0</v>
      </c>
      <c r="S36" s="24">
        <v>378</v>
      </c>
      <c r="T36" s="18"/>
      <c r="U36" s="17"/>
      <c r="V36" s="17">
        <v>0</v>
      </c>
      <c r="W36" s="17">
        <v>145.6</v>
      </c>
      <c r="X36" s="17">
        <v>145.6</v>
      </c>
      <c r="Y36" s="17">
        <v>0</v>
      </c>
      <c r="Z36" s="17">
        <v>314.8</v>
      </c>
      <c r="AA36" s="17">
        <v>0</v>
      </c>
      <c r="AB36" s="17">
        <v>460.4</v>
      </c>
      <c r="AC36" s="16" t="s">
        <v>93</v>
      </c>
      <c r="AD36" s="15"/>
      <c r="AE36" s="15"/>
      <c r="AF36" s="14" t="s">
        <v>94</v>
      </c>
      <c r="AG36" s="13">
        <v>0</v>
      </c>
      <c r="AH36" s="13">
        <v>0</v>
      </c>
      <c r="AI36" s="12">
        <v>0</v>
      </c>
      <c r="AJ36" s="12">
        <v>0</v>
      </c>
      <c r="AK36" s="12">
        <v>0</v>
      </c>
      <c r="AL36" s="12">
        <v>0</v>
      </c>
      <c r="AM36" s="12">
        <v>0</v>
      </c>
      <c r="AN36" s="11">
        <v>0</v>
      </c>
      <c r="AO36" s="11">
        <v>0</v>
      </c>
      <c r="AP36" s="11">
        <v>0</v>
      </c>
      <c r="AQ36" s="11">
        <v>2940365</v>
      </c>
      <c r="AR36" s="11">
        <v>0</v>
      </c>
      <c r="AS36" s="11">
        <v>259.2</v>
      </c>
      <c r="AT36" s="11">
        <v>259.2</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2014</v>
      </c>
      <c r="B37" s="23">
        <v>2050</v>
      </c>
      <c r="C37" s="23" t="s">
        <v>161</v>
      </c>
      <c r="D37" s="23">
        <v>36005</v>
      </c>
      <c r="E37" s="23" t="s">
        <v>89</v>
      </c>
      <c r="F37" s="23" t="s">
        <v>108</v>
      </c>
      <c r="G37" s="22" t="s">
        <v>91</v>
      </c>
      <c r="H37" s="28">
        <v>37970</v>
      </c>
      <c r="I37" s="28">
        <v>41008</v>
      </c>
      <c r="J37" s="20" t="s">
        <v>92</v>
      </c>
      <c r="K37" s="19"/>
      <c r="L37" s="27"/>
      <c r="M37" s="27">
        <v>0</v>
      </c>
      <c r="N37" s="18">
        <v>180</v>
      </c>
      <c r="O37" s="18">
        <v>180</v>
      </c>
      <c r="P37" s="26">
        <v>0</v>
      </c>
      <c r="Q37" s="26">
        <v>105.7</v>
      </c>
      <c r="R37" s="25">
        <v>0</v>
      </c>
      <c r="S37" s="24">
        <v>285.7</v>
      </c>
      <c r="T37" s="18"/>
      <c r="U37" s="17"/>
      <c r="V37" s="17">
        <v>0</v>
      </c>
      <c r="W37" s="17">
        <v>160.41999999999999</v>
      </c>
      <c r="X37" s="17">
        <v>160.41999999999999</v>
      </c>
      <c r="Y37" s="17">
        <v>0</v>
      </c>
      <c r="Z37" s="17">
        <v>121.15</v>
      </c>
      <c r="AA37" s="17">
        <v>0</v>
      </c>
      <c r="AB37" s="17">
        <v>281.57</v>
      </c>
      <c r="AC37" s="16" t="s">
        <v>93</v>
      </c>
      <c r="AD37" s="15"/>
      <c r="AE37" s="15"/>
      <c r="AF37" s="14" t="s">
        <v>94</v>
      </c>
      <c r="AG37" s="13">
        <v>0</v>
      </c>
      <c r="AH37" s="13">
        <v>0</v>
      </c>
      <c r="AI37" s="12">
        <v>0</v>
      </c>
      <c r="AJ37" s="12">
        <v>0</v>
      </c>
      <c r="AK37" s="12">
        <v>0</v>
      </c>
      <c r="AL37" s="12">
        <v>0</v>
      </c>
      <c r="AM37" s="12">
        <v>0</v>
      </c>
      <c r="AN37" s="11">
        <v>0</v>
      </c>
      <c r="AO37" s="11">
        <v>0</v>
      </c>
      <c r="AP37" s="11">
        <v>0</v>
      </c>
      <c r="AQ37" s="11">
        <v>2270199</v>
      </c>
      <c r="AR37" s="11">
        <v>0</v>
      </c>
      <c r="AS37" s="11">
        <v>1187.56</v>
      </c>
      <c r="AT37" s="11">
        <v>0</v>
      </c>
      <c r="AU37" s="11">
        <v>1187.56</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2014</v>
      </c>
      <c r="B38" s="23">
        <v>2281</v>
      </c>
      <c r="C38" s="23" t="s">
        <v>162</v>
      </c>
      <c r="D38" s="23">
        <v>36343</v>
      </c>
      <c r="E38" s="23" t="s">
        <v>89</v>
      </c>
      <c r="F38" s="23" t="s">
        <v>106</v>
      </c>
      <c r="G38" s="22" t="s">
        <v>91</v>
      </c>
      <c r="H38" s="31">
        <v>39059</v>
      </c>
      <c r="I38" s="31">
        <v>41455</v>
      </c>
      <c r="J38" s="20" t="s">
        <v>92</v>
      </c>
      <c r="K38" s="19"/>
      <c r="L38" s="27"/>
      <c r="M38" s="27">
        <v>0</v>
      </c>
      <c r="N38" s="18">
        <v>1000</v>
      </c>
      <c r="O38" s="18">
        <v>1000</v>
      </c>
      <c r="P38" s="26">
        <v>177</v>
      </c>
      <c r="Q38" s="26">
        <v>251</v>
      </c>
      <c r="R38" s="25">
        <v>0</v>
      </c>
      <c r="S38" s="24">
        <v>1428</v>
      </c>
      <c r="T38" s="18"/>
      <c r="U38" s="17"/>
      <c r="V38" s="17">
        <v>0</v>
      </c>
      <c r="W38" s="17">
        <v>800</v>
      </c>
      <c r="X38" s="17">
        <v>800</v>
      </c>
      <c r="Y38" s="17">
        <v>122.44</v>
      </c>
      <c r="Z38" s="17">
        <v>126.32</v>
      </c>
      <c r="AA38" s="17">
        <v>0</v>
      </c>
      <c r="AB38" s="17">
        <v>1048.76</v>
      </c>
      <c r="AC38" s="16" t="s">
        <v>94</v>
      </c>
      <c r="AD38" s="15" t="s">
        <v>163</v>
      </c>
      <c r="AE38" s="15" t="s">
        <v>164</v>
      </c>
      <c r="AF38" s="14" t="s">
        <v>93</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23">
        <v>2014</v>
      </c>
      <c r="B39" s="23">
        <v>2346</v>
      </c>
      <c r="C39" s="23" t="s">
        <v>165</v>
      </c>
      <c r="D39" s="23">
        <v>32298</v>
      </c>
      <c r="E39" s="23" t="s">
        <v>89</v>
      </c>
      <c r="F39" s="23" t="s">
        <v>166</v>
      </c>
      <c r="G39" s="22" t="s">
        <v>91</v>
      </c>
      <c r="H39" s="30">
        <v>39315</v>
      </c>
      <c r="I39" s="30">
        <v>41533</v>
      </c>
      <c r="J39" s="20" t="s">
        <v>92</v>
      </c>
      <c r="K39" s="19"/>
      <c r="L39" s="27"/>
      <c r="M39" s="27">
        <v>0</v>
      </c>
      <c r="N39" s="18">
        <v>144</v>
      </c>
      <c r="O39" s="18">
        <v>144</v>
      </c>
      <c r="P39" s="26">
        <v>0</v>
      </c>
      <c r="Q39" s="26">
        <v>18.899999999999999</v>
      </c>
      <c r="R39" s="25">
        <v>34.9</v>
      </c>
      <c r="S39" s="24">
        <v>197.8</v>
      </c>
      <c r="T39" s="18"/>
      <c r="U39" s="17"/>
      <c r="V39" s="17">
        <v>0</v>
      </c>
      <c r="W39" s="17">
        <v>141.91</v>
      </c>
      <c r="X39" s="17">
        <v>141.91</v>
      </c>
      <c r="Y39" s="17">
        <v>0</v>
      </c>
      <c r="Z39" s="17">
        <v>24.19</v>
      </c>
      <c r="AA39" s="17">
        <v>10</v>
      </c>
      <c r="AB39" s="17">
        <v>176.1</v>
      </c>
      <c r="AC39" s="16" t="s">
        <v>93</v>
      </c>
      <c r="AD39" s="15"/>
      <c r="AE39" s="15"/>
      <c r="AF39" s="14" t="s">
        <v>94</v>
      </c>
      <c r="AG39" s="13">
        <v>0</v>
      </c>
      <c r="AH39" s="13">
        <v>0</v>
      </c>
      <c r="AI39" s="12">
        <v>0</v>
      </c>
      <c r="AJ39" s="12">
        <v>0</v>
      </c>
      <c r="AK39" s="12">
        <v>0</v>
      </c>
      <c r="AL39" s="12">
        <v>0</v>
      </c>
      <c r="AM39" s="12">
        <v>0</v>
      </c>
      <c r="AN39" s="11">
        <v>0</v>
      </c>
      <c r="AO39" s="11">
        <v>1451.5</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c r="A40" s="23">
        <v>2014</v>
      </c>
      <c r="B40" s="23">
        <v>2535</v>
      </c>
      <c r="C40" s="23" t="s">
        <v>167</v>
      </c>
      <c r="D40" s="23">
        <v>37066</v>
      </c>
      <c r="E40" s="23" t="s">
        <v>89</v>
      </c>
      <c r="F40" s="23" t="s">
        <v>166</v>
      </c>
      <c r="G40" s="22" t="s">
        <v>91</v>
      </c>
      <c r="H40" s="28">
        <v>40032</v>
      </c>
      <c r="I40" s="28">
        <v>41274</v>
      </c>
      <c r="J40" s="20" t="s">
        <v>92</v>
      </c>
      <c r="K40" s="19"/>
      <c r="L40" s="27"/>
      <c r="M40" s="27">
        <v>0</v>
      </c>
      <c r="N40" s="18">
        <v>185</v>
      </c>
      <c r="O40" s="18">
        <v>185</v>
      </c>
      <c r="P40" s="26">
        <v>0</v>
      </c>
      <c r="Q40" s="26">
        <v>54.800000000000004</v>
      </c>
      <c r="R40" s="25">
        <v>0</v>
      </c>
      <c r="S40" s="24">
        <v>239.8</v>
      </c>
      <c r="T40" s="18"/>
      <c r="U40" s="17"/>
      <c r="V40" s="17">
        <v>0</v>
      </c>
      <c r="W40" s="17">
        <v>185</v>
      </c>
      <c r="X40" s="17">
        <v>185</v>
      </c>
      <c r="Y40" s="17">
        <v>0</v>
      </c>
      <c r="Z40" s="17">
        <v>63.349999999999994</v>
      </c>
      <c r="AA40" s="17">
        <v>0</v>
      </c>
      <c r="AB40" s="17">
        <v>248.35</v>
      </c>
      <c r="AC40" s="16" t="s">
        <v>93</v>
      </c>
      <c r="AD40" s="15"/>
      <c r="AE40" s="15"/>
      <c r="AF40" s="14" t="s">
        <v>94</v>
      </c>
      <c r="AG40" s="13">
        <v>0</v>
      </c>
      <c r="AH40" s="13">
        <v>0</v>
      </c>
      <c r="AI40" s="12">
        <v>0</v>
      </c>
      <c r="AJ40" s="12">
        <v>0</v>
      </c>
      <c r="AK40" s="12">
        <v>0</v>
      </c>
      <c r="AL40" s="12">
        <v>0</v>
      </c>
      <c r="AM40" s="12">
        <v>0</v>
      </c>
      <c r="AN40" s="11">
        <v>0</v>
      </c>
      <c r="AO40" s="11">
        <v>0</v>
      </c>
      <c r="AP40" s="11">
        <v>0</v>
      </c>
      <c r="AQ40" s="11">
        <v>499265</v>
      </c>
      <c r="AR40" s="11">
        <v>0</v>
      </c>
      <c r="AS40" s="11">
        <v>2975.23</v>
      </c>
      <c r="AT40" s="11">
        <v>0</v>
      </c>
      <c r="AU40" s="11">
        <v>2975.23</v>
      </c>
      <c r="AV40" s="11">
        <v>2975.23</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c r="A41" s="23">
        <v>2014</v>
      </c>
      <c r="B41" s="23" t="s">
        <v>168</v>
      </c>
      <c r="C41" s="23" t="s">
        <v>169</v>
      </c>
      <c r="D41" s="23">
        <v>41036</v>
      </c>
      <c r="E41" s="23" t="s">
        <v>89</v>
      </c>
      <c r="F41" s="23" t="s">
        <v>110</v>
      </c>
      <c r="G41" s="22" t="s">
        <v>91</v>
      </c>
      <c r="H41" s="28">
        <v>40144</v>
      </c>
      <c r="I41" s="28">
        <v>40800</v>
      </c>
      <c r="J41" s="20" t="s">
        <v>92</v>
      </c>
      <c r="K41" s="19"/>
      <c r="L41" s="27"/>
      <c r="M41" s="27">
        <v>0</v>
      </c>
      <c r="N41" s="18">
        <v>700</v>
      </c>
      <c r="O41" s="18">
        <v>700</v>
      </c>
      <c r="P41" s="26">
        <v>0</v>
      </c>
      <c r="Q41" s="26">
        <v>0</v>
      </c>
      <c r="R41" s="25">
        <v>0</v>
      </c>
      <c r="S41" s="24">
        <v>700</v>
      </c>
      <c r="T41" s="18"/>
      <c r="U41" s="17"/>
      <c r="V41" s="17">
        <v>0</v>
      </c>
      <c r="W41" s="17">
        <v>700</v>
      </c>
      <c r="X41" s="17">
        <v>700</v>
      </c>
      <c r="Y41" s="17">
        <v>0</v>
      </c>
      <c r="Z41" s="17">
        <v>0</v>
      </c>
      <c r="AA41" s="17">
        <v>0</v>
      </c>
      <c r="AB41" s="17">
        <v>700</v>
      </c>
      <c r="AC41" s="16" t="s">
        <v>93</v>
      </c>
      <c r="AD41" s="15"/>
      <c r="AE41" s="15"/>
      <c r="AF41" s="14" t="s">
        <v>94</v>
      </c>
      <c r="AG41" s="13">
        <v>0</v>
      </c>
      <c r="AH41" s="13">
        <v>0</v>
      </c>
      <c r="AI41" s="12">
        <v>0</v>
      </c>
      <c r="AJ41" s="12">
        <v>0</v>
      </c>
      <c r="AK41" s="12">
        <v>0</v>
      </c>
      <c r="AL41" s="12">
        <v>0</v>
      </c>
      <c r="AM41" s="12">
        <v>4000</v>
      </c>
      <c r="AN41" s="11">
        <v>4000</v>
      </c>
      <c r="AO41" s="11">
        <v>1900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c r="A42" s="23">
        <v>2015</v>
      </c>
      <c r="B42" s="23">
        <v>2159</v>
      </c>
      <c r="C42" s="23" t="s">
        <v>170</v>
      </c>
      <c r="D42" s="23" t="s">
        <v>171</v>
      </c>
      <c r="E42" s="23" t="s">
        <v>89</v>
      </c>
      <c r="F42" s="23" t="s">
        <v>110</v>
      </c>
      <c r="G42" s="22" t="s">
        <v>91</v>
      </c>
      <c r="H42" s="29">
        <v>38440</v>
      </c>
      <c r="I42" s="28">
        <v>41364</v>
      </c>
      <c r="J42" s="20" t="s">
        <v>92</v>
      </c>
      <c r="K42" s="19"/>
      <c r="L42" s="27"/>
      <c r="M42" s="27">
        <v>0</v>
      </c>
      <c r="N42" s="18">
        <v>46.1</v>
      </c>
      <c r="O42" s="18">
        <v>46.1</v>
      </c>
      <c r="P42" s="26">
        <v>0</v>
      </c>
      <c r="Q42" s="26">
        <v>19.899999999999999</v>
      </c>
      <c r="R42" s="25">
        <v>0.6</v>
      </c>
      <c r="S42" s="24">
        <v>66.599999999999994</v>
      </c>
      <c r="T42" s="18"/>
      <c r="U42" s="17"/>
      <c r="V42" s="17">
        <v>0</v>
      </c>
      <c r="W42" s="17">
        <v>32.444000000000003</v>
      </c>
      <c r="X42" s="17">
        <v>32.444000000000003</v>
      </c>
      <c r="Y42" s="17">
        <v>0</v>
      </c>
      <c r="Z42" s="17">
        <v>10.515000000000001</v>
      </c>
      <c r="AA42" s="17">
        <v>3.3000000000000002E-2</v>
      </c>
      <c r="AB42" s="17">
        <v>42.992000000000004</v>
      </c>
      <c r="AC42" s="16" t="s">
        <v>93</v>
      </c>
      <c r="AD42" s="15"/>
      <c r="AE42" s="15"/>
      <c r="AF42" s="14" t="s">
        <v>94</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173984</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c r="A43" s="23">
        <v>2015</v>
      </c>
      <c r="B43" s="23" t="s">
        <v>172</v>
      </c>
      <c r="C43" s="23" t="s">
        <v>173</v>
      </c>
      <c r="D43" s="23" t="s">
        <v>174</v>
      </c>
      <c r="E43" s="23" t="s">
        <v>89</v>
      </c>
      <c r="F43" s="23" t="s">
        <v>110</v>
      </c>
      <c r="G43" s="22" t="s">
        <v>91</v>
      </c>
      <c r="H43" s="29">
        <v>37959</v>
      </c>
      <c r="I43" s="28">
        <v>41038</v>
      </c>
      <c r="J43" s="20" t="s">
        <v>92</v>
      </c>
      <c r="K43" s="19"/>
      <c r="L43" s="27"/>
      <c r="M43" s="27">
        <v>0</v>
      </c>
      <c r="N43" s="18">
        <v>400</v>
      </c>
      <c r="O43" s="18">
        <v>400</v>
      </c>
      <c r="P43" s="26">
        <v>0</v>
      </c>
      <c r="Q43" s="26">
        <v>257.7</v>
      </c>
      <c r="R43" s="25">
        <v>68.599999999999994</v>
      </c>
      <c r="S43" s="24">
        <v>726.30000000000007</v>
      </c>
      <c r="T43" s="18"/>
      <c r="U43" s="17"/>
      <c r="V43" s="17">
        <v>0</v>
      </c>
      <c r="W43" s="17">
        <v>499.6</v>
      </c>
      <c r="X43" s="17">
        <v>499.6</v>
      </c>
      <c r="Y43" s="17">
        <v>0</v>
      </c>
      <c r="Z43" s="17">
        <v>490.5</v>
      </c>
      <c r="AA43" s="17">
        <v>106.1</v>
      </c>
      <c r="AB43" s="17">
        <v>1096.2</v>
      </c>
      <c r="AC43" s="16" t="s">
        <v>93</v>
      </c>
      <c r="AD43" s="15"/>
      <c r="AE43" s="15"/>
      <c r="AF43" s="14" t="s">
        <v>94</v>
      </c>
      <c r="AG43" s="13">
        <v>0</v>
      </c>
      <c r="AH43" s="13">
        <v>0</v>
      </c>
      <c r="AI43" s="12">
        <v>0</v>
      </c>
      <c r="AJ43" s="12">
        <v>0</v>
      </c>
      <c r="AK43" s="12">
        <v>0</v>
      </c>
      <c r="AL43" s="12">
        <v>0</v>
      </c>
      <c r="AM43" s="12">
        <v>0</v>
      </c>
      <c r="AN43" s="11">
        <v>0</v>
      </c>
      <c r="AO43" s="11">
        <v>0</v>
      </c>
      <c r="AP43" s="11">
        <v>0</v>
      </c>
      <c r="AQ43" s="11">
        <v>4763975</v>
      </c>
      <c r="AR43" s="11">
        <v>0</v>
      </c>
      <c r="AS43" s="11">
        <v>657.1</v>
      </c>
      <c r="AT43" s="11">
        <v>657.1</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c r="A44" s="23">
        <v>2015</v>
      </c>
      <c r="B44" s="23" t="s">
        <v>175</v>
      </c>
      <c r="C44" s="23" t="s">
        <v>176</v>
      </c>
      <c r="D44" s="23" t="s">
        <v>177</v>
      </c>
      <c r="E44" s="23" t="s">
        <v>89</v>
      </c>
      <c r="F44" s="23" t="s">
        <v>110</v>
      </c>
      <c r="G44" s="22" t="s">
        <v>91</v>
      </c>
      <c r="H44" s="29">
        <v>36879</v>
      </c>
      <c r="I44" s="28">
        <v>41591</v>
      </c>
      <c r="J44" s="20" t="s">
        <v>92</v>
      </c>
      <c r="K44" s="19"/>
      <c r="L44" s="27"/>
      <c r="M44" s="27">
        <v>0</v>
      </c>
      <c r="N44" s="18">
        <v>262.67</v>
      </c>
      <c r="O44" s="18">
        <v>262.67</v>
      </c>
      <c r="P44" s="26">
        <v>0</v>
      </c>
      <c r="Q44" s="26">
        <v>143.6</v>
      </c>
      <c r="R44" s="25">
        <v>0</v>
      </c>
      <c r="S44" s="24">
        <v>406.27</v>
      </c>
      <c r="T44" s="18"/>
      <c r="U44" s="17"/>
      <c r="V44" s="17">
        <v>0</v>
      </c>
      <c r="W44" s="17">
        <v>246.64</v>
      </c>
      <c r="X44" s="17">
        <v>246.64</v>
      </c>
      <c r="Y44" s="17">
        <v>0</v>
      </c>
      <c r="Z44" s="17">
        <v>124.06</v>
      </c>
      <c r="AA44" s="17">
        <v>0</v>
      </c>
      <c r="AB44" s="17">
        <v>370.7</v>
      </c>
      <c r="AC44" s="16" t="s">
        <v>93</v>
      </c>
      <c r="AD44" s="15"/>
      <c r="AE44" s="15"/>
      <c r="AF44" s="14" t="s">
        <v>94</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46145</v>
      </c>
      <c r="BE44" s="11">
        <v>0</v>
      </c>
      <c r="BF44" s="11">
        <v>0</v>
      </c>
      <c r="BG44" s="11">
        <v>4800</v>
      </c>
      <c r="BH44" s="11">
        <v>340000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c r="A45" s="23">
        <v>2015</v>
      </c>
      <c r="B45" s="23">
        <v>2330</v>
      </c>
      <c r="C45" s="23" t="s">
        <v>178</v>
      </c>
      <c r="D45" s="23" t="s">
        <v>179</v>
      </c>
      <c r="E45" s="23" t="s">
        <v>89</v>
      </c>
      <c r="F45" s="23" t="s">
        <v>110</v>
      </c>
      <c r="G45" s="22" t="s">
        <v>91</v>
      </c>
      <c r="H45" s="29">
        <v>39233</v>
      </c>
      <c r="I45" s="28">
        <v>40908</v>
      </c>
      <c r="J45" s="20" t="s">
        <v>92</v>
      </c>
      <c r="K45" s="19"/>
      <c r="L45" s="27"/>
      <c r="M45" s="27">
        <v>0</v>
      </c>
      <c r="N45" s="18">
        <v>320</v>
      </c>
      <c r="O45" s="18">
        <v>320</v>
      </c>
      <c r="P45" s="26">
        <v>0</v>
      </c>
      <c r="Q45" s="26">
        <v>80</v>
      </c>
      <c r="R45" s="25">
        <v>0</v>
      </c>
      <c r="S45" s="24">
        <v>400</v>
      </c>
      <c r="T45" s="18"/>
      <c r="U45" s="17"/>
      <c r="V45" s="17">
        <v>0</v>
      </c>
      <c r="W45" s="17">
        <v>316.8</v>
      </c>
      <c r="X45" s="17">
        <v>316.8</v>
      </c>
      <c r="Y45" s="17">
        <v>0</v>
      </c>
      <c r="Z45" s="17">
        <v>70.2</v>
      </c>
      <c r="AA45" s="17">
        <v>0</v>
      </c>
      <c r="AB45" s="17">
        <v>387</v>
      </c>
      <c r="AC45" s="16" t="s">
        <v>93</v>
      </c>
      <c r="AD45" s="15"/>
      <c r="AE45" s="15"/>
      <c r="AF45" s="14" t="s">
        <v>94</v>
      </c>
      <c r="AG45" s="13">
        <v>0</v>
      </c>
      <c r="AH45" s="13">
        <v>0</v>
      </c>
      <c r="AI45" s="12">
        <v>0</v>
      </c>
      <c r="AJ45" s="12">
        <v>0</v>
      </c>
      <c r="AK45" s="12">
        <v>0</v>
      </c>
      <c r="AL45" s="12">
        <v>0</v>
      </c>
      <c r="AM45" s="12">
        <v>0</v>
      </c>
      <c r="AN45" s="11">
        <v>0</v>
      </c>
      <c r="AO45" s="11">
        <v>0</v>
      </c>
      <c r="AP45" s="11">
        <v>0</v>
      </c>
      <c r="AQ45" s="11">
        <v>6133506</v>
      </c>
      <c r="AR45" s="11">
        <v>0</v>
      </c>
      <c r="AS45" s="11">
        <v>1698.64</v>
      </c>
      <c r="AT45" s="11">
        <v>1698.64</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c r="A46" s="23">
        <v>2015</v>
      </c>
      <c r="B46" s="23">
        <v>2312</v>
      </c>
      <c r="C46" s="23" t="s">
        <v>180</v>
      </c>
      <c r="D46" s="23" t="s">
        <v>181</v>
      </c>
      <c r="E46" s="23" t="s">
        <v>89</v>
      </c>
      <c r="F46" s="23" t="s">
        <v>166</v>
      </c>
      <c r="G46" s="22" t="s">
        <v>91</v>
      </c>
      <c r="H46" s="29">
        <v>39108</v>
      </c>
      <c r="I46" s="28">
        <v>41843</v>
      </c>
      <c r="J46" s="20" t="s">
        <v>92</v>
      </c>
      <c r="K46" s="19"/>
      <c r="L46" s="27"/>
      <c r="M46" s="27">
        <v>0</v>
      </c>
      <c r="N46" s="18">
        <v>33</v>
      </c>
      <c r="O46" s="18">
        <v>33</v>
      </c>
      <c r="P46" s="26">
        <v>0</v>
      </c>
      <c r="Q46" s="26">
        <v>18.399999999999999</v>
      </c>
      <c r="R46" s="25">
        <v>0</v>
      </c>
      <c r="S46" s="24">
        <v>51.4</v>
      </c>
      <c r="T46" s="18"/>
      <c r="U46" s="17"/>
      <c r="V46" s="17">
        <v>0</v>
      </c>
      <c r="W46" s="17">
        <v>23.42</v>
      </c>
      <c r="X46" s="17">
        <v>23.42</v>
      </c>
      <c r="Y46" s="17">
        <v>0</v>
      </c>
      <c r="Z46" s="17">
        <v>12.029</v>
      </c>
      <c r="AA46" s="17">
        <v>0</v>
      </c>
      <c r="AB46" s="17">
        <v>35.448999999999998</v>
      </c>
      <c r="AC46" s="16" t="s">
        <v>93</v>
      </c>
      <c r="AD46" s="15"/>
      <c r="AE46" s="15"/>
      <c r="AF46" s="14" t="s">
        <v>94</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49233</v>
      </c>
      <c r="BB46" s="11">
        <v>0</v>
      </c>
      <c r="BC46" s="11">
        <v>49233</v>
      </c>
      <c r="BD46" s="11">
        <v>0</v>
      </c>
      <c r="BE46" s="11">
        <v>0</v>
      </c>
      <c r="BF46" s="11">
        <v>265.14</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c r="A47" s="23">
        <v>2015</v>
      </c>
      <c r="B47" s="23">
        <v>2926</v>
      </c>
      <c r="C47" s="23" t="s">
        <v>182</v>
      </c>
      <c r="D47" s="23" t="s">
        <v>183</v>
      </c>
      <c r="E47" s="23" t="s">
        <v>89</v>
      </c>
      <c r="F47" s="23" t="s">
        <v>106</v>
      </c>
      <c r="G47" s="22" t="s">
        <v>91</v>
      </c>
      <c r="H47" s="29">
        <v>41212</v>
      </c>
      <c r="I47" s="28">
        <v>41844</v>
      </c>
      <c r="J47" s="20" t="s">
        <v>92</v>
      </c>
      <c r="K47" s="19"/>
      <c r="L47" s="27"/>
      <c r="M47" s="27">
        <v>0</v>
      </c>
      <c r="N47" s="18">
        <v>400</v>
      </c>
      <c r="O47" s="18">
        <v>400</v>
      </c>
      <c r="P47" s="26">
        <v>0</v>
      </c>
      <c r="Q47" s="26">
        <v>0</v>
      </c>
      <c r="R47" s="25">
        <v>0</v>
      </c>
      <c r="S47" s="24">
        <v>400</v>
      </c>
      <c r="T47" s="18"/>
      <c r="U47" s="17"/>
      <c r="V47" s="17">
        <v>0</v>
      </c>
      <c r="W47" s="17">
        <v>400</v>
      </c>
      <c r="X47" s="17">
        <v>400</v>
      </c>
      <c r="Y47" s="17">
        <v>0</v>
      </c>
      <c r="Z47" s="17">
        <v>0</v>
      </c>
      <c r="AA47" s="17">
        <v>0</v>
      </c>
      <c r="AB47" s="17">
        <v>400</v>
      </c>
      <c r="AC47" s="16" t="s">
        <v>93</v>
      </c>
      <c r="AD47" s="15"/>
      <c r="AE47" s="15"/>
      <c r="AF47" s="14" t="s">
        <v>93</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c r="A48" s="23">
        <v>2015</v>
      </c>
      <c r="B48" s="23">
        <v>2798</v>
      </c>
      <c r="C48" s="23" t="s">
        <v>184</v>
      </c>
      <c r="D48" s="23" t="s">
        <v>185</v>
      </c>
      <c r="E48" s="23" t="s">
        <v>89</v>
      </c>
      <c r="F48" s="23" t="s">
        <v>103</v>
      </c>
      <c r="G48" s="22" t="s">
        <v>99</v>
      </c>
      <c r="H48" s="29">
        <v>40849</v>
      </c>
      <c r="I48" s="28">
        <v>40877</v>
      </c>
      <c r="J48" s="20" t="s">
        <v>92</v>
      </c>
      <c r="K48" s="19"/>
      <c r="L48" s="27"/>
      <c r="M48" s="27">
        <v>0</v>
      </c>
      <c r="N48" s="18">
        <v>48</v>
      </c>
      <c r="O48" s="18">
        <v>48</v>
      </c>
      <c r="P48" s="26">
        <v>99.5</v>
      </c>
      <c r="Q48" s="26">
        <v>0</v>
      </c>
      <c r="R48" s="25">
        <v>0</v>
      </c>
      <c r="S48" s="24">
        <v>147.5</v>
      </c>
      <c r="T48" s="18"/>
      <c r="U48" s="17"/>
      <c r="V48" s="17">
        <v>0</v>
      </c>
      <c r="W48" s="17">
        <v>42.43</v>
      </c>
      <c r="X48" s="17">
        <v>42.43</v>
      </c>
      <c r="Y48" s="17">
        <v>89.99</v>
      </c>
      <c r="Z48" s="17">
        <v>0</v>
      </c>
      <c r="AA48" s="17">
        <v>0</v>
      </c>
      <c r="AB48" s="17">
        <v>132.41999999999999</v>
      </c>
      <c r="AC48" s="16" t="s">
        <v>94</v>
      </c>
      <c r="AD48" s="15"/>
      <c r="AE48" s="15"/>
      <c r="AF48" s="14" t="s">
        <v>94</v>
      </c>
      <c r="AG48" s="13">
        <v>57573.393333333333</v>
      </c>
      <c r="AH48" s="13">
        <v>0</v>
      </c>
      <c r="AI48" s="12">
        <v>0</v>
      </c>
      <c r="AJ48" s="12">
        <v>0</v>
      </c>
      <c r="AK48" s="12">
        <v>0</v>
      </c>
      <c r="AL48" s="12">
        <v>0</v>
      </c>
      <c r="AM48" s="12">
        <v>40</v>
      </c>
      <c r="AN48" s="11">
        <v>40</v>
      </c>
      <c r="AO48" s="11">
        <v>15</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2015</v>
      </c>
      <c r="B49" s="23" t="s">
        <v>186</v>
      </c>
      <c r="C49" s="23" t="s">
        <v>187</v>
      </c>
      <c r="D49" s="23" t="s">
        <v>188</v>
      </c>
      <c r="E49" s="23" t="s">
        <v>89</v>
      </c>
      <c r="F49" s="23" t="s">
        <v>103</v>
      </c>
      <c r="G49" s="22" t="s">
        <v>99</v>
      </c>
      <c r="H49" s="29">
        <v>41170</v>
      </c>
      <c r="I49" s="28">
        <v>41547</v>
      </c>
      <c r="J49" s="20" t="s">
        <v>92</v>
      </c>
      <c r="K49" s="19"/>
      <c r="L49" s="27"/>
      <c r="M49" s="27">
        <v>0</v>
      </c>
      <c r="N49" s="18">
        <v>100</v>
      </c>
      <c r="O49" s="18">
        <v>100</v>
      </c>
      <c r="P49" s="26">
        <v>71.8</v>
      </c>
      <c r="Q49" s="26">
        <v>0</v>
      </c>
      <c r="R49" s="25">
        <v>0</v>
      </c>
      <c r="S49" s="24">
        <v>171.8</v>
      </c>
      <c r="T49" s="18"/>
      <c r="U49" s="17"/>
      <c r="V49" s="17">
        <v>0</v>
      </c>
      <c r="W49" s="17">
        <v>42.1</v>
      </c>
      <c r="X49" s="17">
        <v>42.1</v>
      </c>
      <c r="Y49" s="17">
        <v>125.5</v>
      </c>
      <c r="Z49" s="17">
        <v>0</v>
      </c>
      <c r="AA49" s="17">
        <v>0</v>
      </c>
      <c r="AB49" s="17">
        <v>167.6</v>
      </c>
      <c r="AC49" s="16" t="s">
        <v>94</v>
      </c>
      <c r="AD49" s="15"/>
      <c r="AE49" s="15"/>
      <c r="AF49" s="14" t="s">
        <v>94</v>
      </c>
      <c r="AG49" s="13">
        <v>98000</v>
      </c>
      <c r="AH49" s="13">
        <v>0</v>
      </c>
      <c r="AI49" s="12">
        <v>0</v>
      </c>
      <c r="AJ49" s="12">
        <v>0</v>
      </c>
      <c r="AK49" s="12">
        <v>0</v>
      </c>
      <c r="AL49" s="12">
        <v>0</v>
      </c>
      <c r="AM49" s="12">
        <v>73.06</v>
      </c>
      <c r="AN49" s="11">
        <v>73</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c r="A50" s="23">
        <v>2016</v>
      </c>
      <c r="B50" s="23">
        <v>2324</v>
      </c>
      <c r="C50" s="23" t="s">
        <v>189</v>
      </c>
      <c r="D50" s="23" t="s">
        <v>190</v>
      </c>
      <c r="E50" s="23" t="s">
        <v>89</v>
      </c>
      <c r="F50" s="23" t="s">
        <v>191</v>
      </c>
      <c r="G50" s="22" t="s">
        <v>91</v>
      </c>
      <c r="H50" s="29">
        <v>39176</v>
      </c>
      <c r="I50" s="28">
        <v>41470</v>
      </c>
      <c r="J50" s="20" t="s">
        <v>92</v>
      </c>
      <c r="K50" s="19"/>
      <c r="L50" s="27"/>
      <c r="M50" s="27">
        <v>0</v>
      </c>
      <c r="N50" s="18">
        <v>45</v>
      </c>
      <c r="O50" s="18">
        <v>45</v>
      </c>
      <c r="P50" s="26">
        <v>0</v>
      </c>
      <c r="Q50" s="26">
        <v>0</v>
      </c>
      <c r="R50" s="25">
        <v>20.7</v>
      </c>
      <c r="S50" s="24">
        <v>65.7</v>
      </c>
      <c r="T50" s="18"/>
      <c r="U50" s="17"/>
      <c r="V50" s="17">
        <v>0</v>
      </c>
      <c r="W50" s="17">
        <v>40.75</v>
      </c>
      <c r="X50" s="17">
        <v>40.75</v>
      </c>
      <c r="Y50" s="17">
        <v>0</v>
      </c>
      <c r="Z50" s="17">
        <v>0</v>
      </c>
      <c r="AA50" s="17">
        <v>23.55</v>
      </c>
      <c r="AB50" s="17">
        <v>64.3</v>
      </c>
      <c r="AC50" s="16" t="s">
        <v>93</v>
      </c>
      <c r="AD50" s="15"/>
      <c r="AE50" s="15"/>
      <c r="AF50" s="14" t="s">
        <v>94</v>
      </c>
      <c r="AG50" s="13">
        <v>0</v>
      </c>
      <c r="AH50" s="13">
        <v>0</v>
      </c>
      <c r="AI50" s="12">
        <v>0</v>
      </c>
      <c r="AJ50" s="12">
        <v>0</v>
      </c>
      <c r="AK50" s="12">
        <v>0</v>
      </c>
      <c r="AL50" s="12">
        <v>0</v>
      </c>
      <c r="AM50" s="12">
        <v>0</v>
      </c>
      <c r="AN50" s="11">
        <v>0</v>
      </c>
      <c r="AO50" s="11">
        <v>0</v>
      </c>
      <c r="AP50" s="11">
        <v>4028</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c r="A51" s="23">
        <v>2016</v>
      </c>
      <c r="B51" s="23">
        <v>2347</v>
      </c>
      <c r="C51" s="23" t="s">
        <v>192</v>
      </c>
      <c r="D51" s="23" t="s">
        <v>193</v>
      </c>
      <c r="E51" s="23" t="s">
        <v>89</v>
      </c>
      <c r="F51" s="23" t="s">
        <v>191</v>
      </c>
      <c r="G51" s="22" t="s">
        <v>91</v>
      </c>
      <c r="H51" s="29">
        <v>39315</v>
      </c>
      <c r="I51" s="28">
        <v>41760</v>
      </c>
      <c r="J51" s="20" t="s">
        <v>92</v>
      </c>
      <c r="K51" s="19"/>
      <c r="L51" s="27"/>
      <c r="M51" s="27">
        <v>0</v>
      </c>
      <c r="N51" s="18">
        <v>90</v>
      </c>
      <c r="O51" s="18">
        <v>90</v>
      </c>
      <c r="P51" s="26">
        <v>0</v>
      </c>
      <c r="Q51" s="26">
        <v>60.7</v>
      </c>
      <c r="R51" s="25">
        <v>0</v>
      </c>
      <c r="S51" s="24">
        <v>150.69999999999999</v>
      </c>
      <c r="T51" s="18"/>
      <c r="U51" s="17"/>
      <c r="V51" s="17">
        <v>0</v>
      </c>
      <c r="W51" s="17">
        <v>74.16</v>
      </c>
      <c r="X51" s="17">
        <v>74.16</v>
      </c>
      <c r="Y51" s="17">
        <v>0</v>
      </c>
      <c r="Z51" s="17">
        <v>7.7</v>
      </c>
      <c r="AA51" s="17">
        <v>0</v>
      </c>
      <c r="AB51" s="17">
        <v>81.86</v>
      </c>
      <c r="AC51" s="16" t="s">
        <v>93</v>
      </c>
      <c r="AD51" s="15"/>
      <c r="AE51" s="15"/>
      <c r="AF51" s="14" t="s">
        <v>94</v>
      </c>
      <c r="AG51" s="13">
        <v>0</v>
      </c>
      <c r="AH51" s="13">
        <v>0</v>
      </c>
      <c r="AI51" s="12">
        <v>0</v>
      </c>
      <c r="AJ51" s="12">
        <v>0</v>
      </c>
      <c r="AK51" s="12">
        <v>0</v>
      </c>
      <c r="AL51" s="12">
        <v>0</v>
      </c>
      <c r="AM51" s="12">
        <v>0</v>
      </c>
      <c r="AN51" s="11">
        <v>0</v>
      </c>
      <c r="AO51" s="11">
        <v>0</v>
      </c>
      <c r="AP51" s="11">
        <v>7000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c r="A52" s="23">
        <v>2016</v>
      </c>
      <c r="B52" s="23">
        <v>2151</v>
      </c>
      <c r="C52" s="23" t="s">
        <v>194</v>
      </c>
      <c r="D52" s="23" t="s">
        <v>195</v>
      </c>
      <c r="E52" s="23" t="s">
        <v>89</v>
      </c>
      <c r="F52" s="23" t="s">
        <v>196</v>
      </c>
      <c r="G52" s="22" t="s">
        <v>91</v>
      </c>
      <c r="H52" s="29">
        <v>38342</v>
      </c>
      <c r="I52" s="28">
        <v>41745</v>
      </c>
      <c r="J52" s="20" t="s">
        <v>92</v>
      </c>
      <c r="K52" s="19"/>
      <c r="L52" s="27"/>
      <c r="M52" s="27">
        <v>0</v>
      </c>
      <c r="N52" s="18">
        <v>250</v>
      </c>
      <c r="O52" s="18">
        <v>250</v>
      </c>
      <c r="P52" s="26">
        <v>0</v>
      </c>
      <c r="Q52" s="26">
        <v>108</v>
      </c>
      <c r="R52" s="25">
        <v>0</v>
      </c>
      <c r="S52" s="24">
        <v>358</v>
      </c>
      <c r="T52" s="18"/>
      <c r="U52" s="17"/>
      <c r="V52" s="17">
        <v>0</v>
      </c>
      <c r="W52" s="17">
        <v>250</v>
      </c>
      <c r="X52" s="17">
        <v>250</v>
      </c>
      <c r="Y52" s="17">
        <v>0</v>
      </c>
      <c r="Z52" s="17">
        <v>121.6</v>
      </c>
      <c r="AA52" s="17">
        <v>0</v>
      </c>
      <c r="AB52" s="17">
        <v>371.6</v>
      </c>
      <c r="AC52" s="16" t="s">
        <v>93</v>
      </c>
      <c r="AD52" s="15"/>
      <c r="AE52" s="15"/>
      <c r="AF52" s="14" t="s">
        <v>94</v>
      </c>
      <c r="AG52" s="13">
        <v>0</v>
      </c>
      <c r="AH52" s="13">
        <v>0</v>
      </c>
      <c r="AI52" s="12">
        <v>0</v>
      </c>
      <c r="AJ52" s="12">
        <v>0</v>
      </c>
      <c r="AK52" s="12">
        <v>0</v>
      </c>
      <c r="AL52" s="12">
        <v>0</v>
      </c>
      <c r="AM52" s="12">
        <v>0</v>
      </c>
      <c r="AN52" s="11">
        <v>0</v>
      </c>
      <c r="AO52" s="11">
        <v>0</v>
      </c>
      <c r="AP52" s="11">
        <v>0</v>
      </c>
      <c r="AQ52" s="11">
        <v>0</v>
      </c>
      <c r="AR52" s="11">
        <v>0</v>
      </c>
      <c r="AS52" s="11">
        <v>604</v>
      </c>
      <c r="AT52" s="11">
        <v>0</v>
      </c>
      <c r="AU52" s="11">
        <v>604</v>
      </c>
      <c r="AV52" s="11">
        <v>0</v>
      </c>
      <c r="AW52" s="11">
        <v>0</v>
      </c>
      <c r="AX52" s="11">
        <v>0</v>
      </c>
      <c r="AY52" s="11">
        <v>0</v>
      </c>
      <c r="AZ52" s="11">
        <v>0</v>
      </c>
      <c r="BA52" s="11">
        <v>360000</v>
      </c>
      <c r="BB52" s="11">
        <v>0</v>
      </c>
      <c r="BC52" s="11">
        <v>360000</v>
      </c>
      <c r="BD52" s="11">
        <v>0</v>
      </c>
      <c r="BE52" s="11">
        <v>0</v>
      </c>
      <c r="BF52" s="11">
        <v>425</v>
      </c>
      <c r="BG52" s="11">
        <v>3.7</v>
      </c>
      <c r="BH52" s="11">
        <v>100000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c r="A53" s="23">
        <v>2016</v>
      </c>
      <c r="B53" s="23">
        <v>2445</v>
      </c>
      <c r="C53" s="23" t="s">
        <v>197</v>
      </c>
      <c r="D53" s="23" t="s">
        <v>198</v>
      </c>
      <c r="E53" s="23" t="s">
        <v>89</v>
      </c>
      <c r="F53" s="23" t="s">
        <v>191</v>
      </c>
      <c r="G53" s="22" t="s">
        <v>91</v>
      </c>
      <c r="H53" s="29">
        <v>39717</v>
      </c>
      <c r="I53" s="28">
        <v>41455</v>
      </c>
      <c r="J53" s="20" t="s">
        <v>92</v>
      </c>
      <c r="K53" s="19"/>
      <c r="L53" s="27"/>
      <c r="M53" s="27">
        <v>0</v>
      </c>
      <c r="N53" s="18">
        <v>130</v>
      </c>
      <c r="O53" s="18">
        <v>130</v>
      </c>
      <c r="P53" s="26">
        <v>0</v>
      </c>
      <c r="Q53" s="26">
        <v>38.799999999999997</v>
      </c>
      <c r="R53" s="25">
        <v>0</v>
      </c>
      <c r="S53" s="24">
        <v>168.8</v>
      </c>
      <c r="T53" s="18"/>
      <c r="U53" s="17"/>
      <c r="V53" s="17">
        <v>0</v>
      </c>
      <c r="W53" s="17">
        <v>121.73</v>
      </c>
      <c r="X53" s="17">
        <v>121.73</v>
      </c>
      <c r="Y53" s="17">
        <v>0</v>
      </c>
      <c r="Z53" s="17">
        <v>56.589999999999996</v>
      </c>
      <c r="AA53" s="17">
        <v>0</v>
      </c>
      <c r="AB53" s="17">
        <v>178.32</v>
      </c>
      <c r="AC53" s="16" t="s">
        <v>93</v>
      </c>
      <c r="AD53" s="15"/>
      <c r="AE53" s="15"/>
      <c r="AF53" s="14" t="s">
        <v>94</v>
      </c>
      <c r="AG53" s="13">
        <v>0</v>
      </c>
      <c r="AH53" s="13">
        <v>0</v>
      </c>
      <c r="AI53" s="12">
        <v>0</v>
      </c>
      <c r="AJ53" s="12">
        <v>0</v>
      </c>
      <c r="AK53" s="12">
        <v>0</v>
      </c>
      <c r="AL53" s="12">
        <v>0</v>
      </c>
      <c r="AM53" s="12">
        <v>0</v>
      </c>
      <c r="AN53" s="11">
        <v>0</v>
      </c>
      <c r="AO53" s="11">
        <v>0</v>
      </c>
      <c r="AP53" s="11">
        <v>0</v>
      </c>
      <c r="AQ53" s="11">
        <v>359329</v>
      </c>
      <c r="AR53" s="11">
        <v>0</v>
      </c>
      <c r="AS53" s="11">
        <v>1743.4</v>
      </c>
      <c r="AT53" s="11">
        <v>0</v>
      </c>
      <c r="AU53" s="11">
        <v>1743.4</v>
      </c>
      <c r="AV53" s="11">
        <v>1743.4</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c r="A54" s="23">
        <v>2016</v>
      </c>
      <c r="B54" s="23">
        <v>2154</v>
      </c>
      <c r="C54" s="23" t="s">
        <v>199</v>
      </c>
      <c r="D54" s="23" t="s">
        <v>200</v>
      </c>
      <c r="E54" s="23" t="s">
        <v>89</v>
      </c>
      <c r="F54" s="23" t="s">
        <v>201</v>
      </c>
      <c r="G54" s="22" t="s">
        <v>91</v>
      </c>
      <c r="H54" s="29">
        <v>38342</v>
      </c>
      <c r="I54" s="28">
        <v>41038</v>
      </c>
      <c r="J54" s="20" t="s">
        <v>92</v>
      </c>
      <c r="K54" s="19"/>
      <c r="L54" s="27"/>
      <c r="M54" s="27">
        <v>0</v>
      </c>
      <c r="N54" s="18">
        <v>400</v>
      </c>
      <c r="O54" s="18">
        <v>400</v>
      </c>
      <c r="P54" s="26">
        <v>0</v>
      </c>
      <c r="Q54" s="26">
        <v>39.5</v>
      </c>
      <c r="R54" s="25">
        <v>0</v>
      </c>
      <c r="S54" s="24">
        <v>439.5</v>
      </c>
      <c r="T54" s="18"/>
      <c r="U54" s="17"/>
      <c r="V54" s="17">
        <v>0</v>
      </c>
      <c r="W54" s="17">
        <v>388.34500000000003</v>
      </c>
      <c r="X54" s="17">
        <v>388.34500000000003</v>
      </c>
      <c r="Y54" s="17">
        <v>0</v>
      </c>
      <c r="Z54" s="17">
        <v>356.1</v>
      </c>
      <c r="AA54" s="17">
        <v>0</v>
      </c>
      <c r="AB54" s="17">
        <v>744.44500000000005</v>
      </c>
      <c r="AC54" s="16" t="s">
        <v>93</v>
      </c>
      <c r="AD54" s="15"/>
      <c r="AE54" s="15"/>
      <c r="AF54" s="14" t="s">
        <v>94</v>
      </c>
      <c r="AG54" s="13">
        <v>0</v>
      </c>
      <c r="AH54" s="13">
        <v>0</v>
      </c>
      <c r="AI54" s="12">
        <v>0</v>
      </c>
      <c r="AJ54" s="12">
        <v>0</v>
      </c>
      <c r="AK54" s="12">
        <v>0</v>
      </c>
      <c r="AL54" s="12">
        <v>0</v>
      </c>
      <c r="AM54" s="12">
        <v>0</v>
      </c>
      <c r="AN54" s="11">
        <v>0</v>
      </c>
      <c r="AO54" s="11">
        <v>0</v>
      </c>
      <c r="AP54" s="11">
        <v>0</v>
      </c>
      <c r="AQ54" s="11">
        <v>2267726</v>
      </c>
      <c r="AR54" s="11">
        <v>0</v>
      </c>
      <c r="AS54" s="11">
        <v>567.03</v>
      </c>
      <c r="AT54" s="11">
        <v>567.03</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c r="A55" s="23">
        <v>2016</v>
      </c>
      <c r="B55" s="23" t="s">
        <v>202</v>
      </c>
      <c r="C55" s="23" t="s">
        <v>203</v>
      </c>
      <c r="D55" s="23" t="s">
        <v>204</v>
      </c>
      <c r="E55" s="23" t="s">
        <v>89</v>
      </c>
      <c r="F55" s="23" t="s">
        <v>205</v>
      </c>
      <c r="G55" s="22" t="s">
        <v>91</v>
      </c>
      <c r="H55" s="29">
        <v>37967</v>
      </c>
      <c r="I55" s="28">
        <v>41814</v>
      </c>
      <c r="J55" s="20" t="s">
        <v>92</v>
      </c>
      <c r="K55" s="19"/>
      <c r="L55" s="27"/>
      <c r="M55" s="27">
        <v>0</v>
      </c>
      <c r="N55" s="18">
        <v>252</v>
      </c>
      <c r="O55" s="18">
        <v>252</v>
      </c>
      <c r="P55" s="26">
        <v>0.5</v>
      </c>
      <c r="Q55" s="26">
        <v>130.5</v>
      </c>
      <c r="R55" s="25">
        <v>0</v>
      </c>
      <c r="S55" s="24">
        <v>383</v>
      </c>
      <c r="T55" s="18"/>
      <c r="U55" s="17"/>
      <c r="V55" s="17">
        <v>0</v>
      </c>
      <c r="W55" s="17">
        <v>209.602</v>
      </c>
      <c r="X55" s="17">
        <v>209.602</v>
      </c>
      <c r="Y55" s="17">
        <v>0</v>
      </c>
      <c r="Z55" s="17">
        <v>102.2</v>
      </c>
      <c r="AA55" s="17">
        <v>0</v>
      </c>
      <c r="AB55" s="17">
        <v>311.80200000000002</v>
      </c>
      <c r="AC55" s="16" t="s">
        <v>93</v>
      </c>
      <c r="AD55" s="15"/>
      <c r="AE55" s="15"/>
      <c r="AF55" s="14" t="s">
        <v>94</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1120000</v>
      </c>
      <c r="BB55" s="11">
        <v>0</v>
      </c>
      <c r="BC55" s="11">
        <v>1120000</v>
      </c>
      <c r="BD55" s="11">
        <v>160000</v>
      </c>
      <c r="BE55" s="11">
        <v>75000</v>
      </c>
      <c r="BF55" s="11">
        <v>2450</v>
      </c>
      <c r="BG55" s="11">
        <v>0</v>
      </c>
      <c r="BH55" s="11">
        <v>134000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c r="A56" s="23">
        <v>2017</v>
      </c>
      <c r="B56" s="23">
        <v>2152</v>
      </c>
      <c r="C56" s="23" t="s">
        <v>206</v>
      </c>
      <c r="D56" s="23" t="s">
        <v>207</v>
      </c>
      <c r="E56" s="23" t="s">
        <v>89</v>
      </c>
      <c r="F56" s="23" t="s">
        <v>208</v>
      </c>
      <c r="G56" s="22" t="s">
        <v>91</v>
      </c>
      <c r="H56" s="29">
        <v>38342</v>
      </c>
      <c r="I56" s="28">
        <v>41187</v>
      </c>
      <c r="J56" s="20" t="s">
        <v>209</v>
      </c>
      <c r="K56" s="19">
        <v>0</v>
      </c>
      <c r="L56" s="27">
        <v>0</v>
      </c>
      <c r="M56" s="27">
        <v>0</v>
      </c>
      <c r="N56" s="18">
        <v>400</v>
      </c>
      <c r="O56" s="18">
        <v>400</v>
      </c>
      <c r="P56" s="26">
        <v>0</v>
      </c>
      <c r="Q56" s="26">
        <v>253.2</v>
      </c>
      <c r="R56" s="25">
        <v>0</v>
      </c>
      <c r="S56" s="24">
        <v>653.20000000000005</v>
      </c>
      <c r="T56" s="18">
        <v>0</v>
      </c>
      <c r="U56" s="17">
        <v>0</v>
      </c>
      <c r="V56" s="17">
        <v>0</v>
      </c>
      <c r="W56" s="17">
        <v>400</v>
      </c>
      <c r="X56" s="17">
        <v>400</v>
      </c>
      <c r="Y56" s="17">
        <v>0</v>
      </c>
      <c r="Z56" s="17">
        <v>202.2</v>
      </c>
      <c r="AA56" s="17">
        <v>0</v>
      </c>
      <c r="AB56" s="17">
        <v>602.20000000000005</v>
      </c>
      <c r="AC56" s="16" t="s">
        <v>93</v>
      </c>
      <c r="AD56" s="15"/>
      <c r="AE56" s="15"/>
      <c r="AF56" s="14" t="s">
        <v>94</v>
      </c>
      <c r="AG56" s="13">
        <v>0</v>
      </c>
      <c r="AH56" s="13">
        <v>0</v>
      </c>
      <c r="AI56" s="12">
        <v>0</v>
      </c>
      <c r="AJ56" s="12">
        <v>0</v>
      </c>
      <c r="AK56" s="12">
        <v>0</v>
      </c>
      <c r="AL56" s="12">
        <v>0</v>
      </c>
      <c r="AM56" s="12">
        <v>0</v>
      </c>
      <c r="AN56" s="11">
        <v>0</v>
      </c>
      <c r="AO56" s="11">
        <v>1390.7</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c r="A57" s="23">
        <v>2017</v>
      </c>
      <c r="B57" s="23">
        <v>2308</v>
      </c>
      <c r="C57" s="23" t="s">
        <v>210</v>
      </c>
      <c r="D57" s="23" t="s">
        <v>211</v>
      </c>
      <c r="E57" s="23" t="s">
        <v>89</v>
      </c>
      <c r="F57" s="23" t="s">
        <v>212</v>
      </c>
      <c r="G57" s="22" t="s">
        <v>91</v>
      </c>
      <c r="H57" s="29">
        <v>39084</v>
      </c>
      <c r="I57" s="28">
        <v>41395</v>
      </c>
      <c r="J57" s="20" t="s">
        <v>209</v>
      </c>
      <c r="K57" s="19">
        <v>0</v>
      </c>
      <c r="L57" s="27">
        <v>0</v>
      </c>
      <c r="M57" s="27">
        <v>0</v>
      </c>
      <c r="N57" s="18">
        <v>50</v>
      </c>
      <c r="O57" s="18">
        <v>50</v>
      </c>
      <c r="P57" s="26">
        <v>0</v>
      </c>
      <c r="Q57" s="26">
        <v>24</v>
      </c>
      <c r="R57" s="25">
        <v>0</v>
      </c>
      <c r="S57" s="24">
        <v>74</v>
      </c>
      <c r="T57" s="18">
        <v>0</v>
      </c>
      <c r="U57" s="17">
        <v>0</v>
      </c>
      <c r="V57" s="17">
        <v>0</v>
      </c>
      <c r="W57" s="17">
        <v>40.352800000000002</v>
      </c>
      <c r="X57" s="17">
        <v>40.352800000000002</v>
      </c>
      <c r="Y57" s="17">
        <v>0</v>
      </c>
      <c r="Z57" s="17">
        <v>22.7</v>
      </c>
      <c r="AA57" s="17">
        <v>0</v>
      </c>
      <c r="AB57" s="17">
        <v>63.052800000000005</v>
      </c>
      <c r="AC57" s="16" t="s">
        <v>93</v>
      </c>
      <c r="AD57" s="15"/>
      <c r="AE57" s="15"/>
      <c r="AF57" s="14" t="s">
        <v>94</v>
      </c>
      <c r="AG57" s="13">
        <v>0</v>
      </c>
      <c r="AH57" s="13">
        <v>0</v>
      </c>
      <c r="AI57" s="12">
        <v>0</v>
      </c>
      <c r="AJ57" s="12">
        <v>0</v>
      </c>
      <c r="AK57" s="12">
        <v>0</v>
      </c>
      <c r="AL57" s="12">
        <v>0</v>
      </c>
      <c r="AM57" s="12">
        <v>0</v>
      </c>
      <c r="AN57" s="11">
        <v>0</v>
      </c>
      <c r="AO57" s="11">
        <v>0</v>
      </c>
      <c r="AP57" s="11">
        <v>0</v>
      </c>
      <c r="AQ57" s="11">
        <v>458411</v>
      </c>
      <c r="AR57" s="11">
        <v>0</v>
      </c>
      <c r="AS57" s="11">
        <v>546.5</v>
      </c>
      <c r="AT57" s="11">
        <v>0</v>
      </c>
      <c r="AU57" s="11">
        <v>546.5</v>
      </c>
      <c r="AV57" s="11">
        <v>273.25</v>
      </c>
      <c r="AW57" s="11">
        <v>273.25</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c r="A58" s="23">
        <v>2017</v>
      </c>
      <c r="B58" s="23">
        <v>2366</v>
      </c>
      <c r="C58" s="23" t="s">
        <v>213</v>
      </c>
      <c r="D58" s="23" t="s">
        <v>214</v>
      </c>
      <c r="E58" s="23" t="s">
        <v>89</v>
      </c>
      <c r="F58" s="23" t="s">
        <v>212</v>
      </c>
      <c r="G58" s="22" t="s">
        <v>91</v>
      </c>
      <c r="H58" s="29">
        <v>39394</v>
      </c>
      <c r="I58" s="28">
        <v>42146</v>
      </c>
      <c r="J58" s="20" t="s">
        <v>209</v>
      </c>
      <c r="K58" s="19">
        <v>0</v>
      </c>
      <c r="L58" s="27">
        <v>0</v>
      </c>
      <c r="M58" s="27">
        <v>0</v>
      </c>
      <c r="N58" s="18">
        <v>60</v>
      </c>
      <c r="O58" s="18">
        <v>60</v>
      </c>
      <c r="P58" s="26">
        <v>0</v>
      </c>
      <c r="Q58" s="26">
        <v>15</v>
      </c>
      <c r="R58" s="25">
        <v>0</v>
      </c>
      <c r="S58" s="24">
        <v>75</v>
      </c>
      <c r="T58" s="18">
        <v>0</v>
      </c>
      <c r="U58" s="17">
        <v>0</v>
      </c>
      <c r="V58" s="17">
        <v>0</v>
      </c>
      <c r="W58" s="17">
        <v>50.021000000000001</v>
      </c>
      <c r="X58" s="17">
        <v>50.021000000000001</v>
      </c>
      <c r="Y58" s="17">
        <v>0</v>
      </c>
      <c r="Z58" s="17">
        <v>13.520000000000001</v>
      </c>
      <c r="AA58" s="17">
        <v>0</v>
      </c>
      <c r="AB58" s="17">
        <v>63.541000000000004</v>
      </c>
      <c r="AC58" s="16" t="s">
        <v>93</v>
      </c>
      <c r="AD58" s="15"/>
      <c r="AE58" s="15"/>
      <c r="AF58" s="14" t="s">
        <v>94</v>
      </c>
      <c r="AG58" s="13">
        <v>0</v>
      </c>
      <c r="AH58" s="13">
        <v>0</v>
      </c>
      <c r="AI58" s="12">
        <v>0</v>
      </c>
      <c r="AJ58" s="12">
        <v>0</v>
      </c>
      <c r="AK58" s="12">
        <v>0</v>
      </c>
      <c r="AL58" s="12">
        <v>0</v>
      </c>
      <c r="AM58" s="12">
        <v>0</v>
      </c>
      <c r="AN58" s="11">
        <v>0</v>
      </c>
      <c r="AO58" s="11">
        <v>0</v>
      </c>
      <c r="AP58" s="11">
        <v>0</v>
      </c>
      <c r="AQ58" s="11">
        <v>0</v>
      </c>
      <c r="AR58" s="11">
        <v>0</v>
      </c>
      <c r="AS58" s="11">
        <v>0</v>
      </c>
      <c r="AT58" s="11">
        <v>0</v>
      </c>
      <c r="AU58" s="11">
        <v>0</v>
      </c>
      <c r="AV58" s="11">
        <v>0</v>
      </c>
      <c r="AW58" s="11">
        <v>0</v>
      </c>
      <c r="AX58" s="11">
        <v>0</v>
      </c>
      <c r="AY58" s="11">
        <v>0</v>
      </c>
      <c r="AZ58" s="11">
        <v>0</v>
      </c>
      <c r="BA58" s="11">
        <v>96232</v>
      </c>
      <c r="BB58" s="11">
        <v>0</v>
      </c>
      <c r="BC58" s="11">
        <v>96232</v>
      </c>
      <c r="BD58" s="11">
        <v>19789</v>
      </c>
      <c r="BE58" s="11">
        <v>30000</v>
      </c>
      <c r="BF58" s="11">
        <v>330</v>
      </c>
      <c r="BG58" s="11">
        <v>16</v>
      </c>
      <c r="BH58" s="11">
        <v>1400</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c r="A59" s="23">
        <v>2017</v>
      </c>
      <c r="B59" s="23">
        <v>2498</v>
      </c>
      <c r="C59" s="23" t="s">
        <v>215</v>
      </c>
      <c r="D59" s="23" t="s">
        <v>216</v>
      </c>
      <c r="E59" s="23" t="s">
        <v>89</v>
      </c>
      <c r="F59" s="23" t="s">
        <v>212</v>
      </c>
      <c r="G59" s="22" t="s">
        <v>91</v>
      </c>
      <c r="H59" s="21">
        <v>39805</v>
      </c>
      <c r="I59" s="21">
        <v>42774</v>
      </c>
      <c r="J59" s="20" t="s">
        <v>209</v>
      </c>
      <c r="K59" s="19">
        <v>0</v>
      </c>
      <c r="L59" s="18">
        <v>0</v>
      </c>
      <c r="M59" s="18">
        <v>0</v>
      </c>
      <c r="N59" s="18">
        <v>62.4</v>
      </c>
      <c r="O59" s="18">
        <v>62.4</v>
      </c>
      <c r="P59" s="18">
        <v>0</v>
      </c>
      <c r="Q59" s="18">
        <v>26.74</v>
      </c>
      <c r="R59" s="18">
        <v>0</v>
      </c>
      <c r="S59" s="18">
        <v>89.14</v>
      </c>
      <c r="T59" s="18">
        <v>0</v>
      </c>
      <c r="U59" s="17">
        <v>0</v>
      </c>
      <c r="V59" s="17">
        <v>0</v>
      </c>
      <c r="W59" s="17">
        <v>9.3070000000000004</v>
      </c>
      <c r="X59" s="17">
        <v>9.3070000000000004</v>
      </c>
      <c r="Y59" s="17">
        <v>0</v>
      </c>
      <c r="Z59" s="17">
        <v>3.79</v>
      </c>
      <c r="AA59" s="17">
        <v>0</v>
      </c>
      <c r="AB59" s="17">
        <v>13.097000000000001</v>
      </c>
      <c r="AC59" s="16" t="s">
        <v>93</v>
      </c>
      <c r="AD59" s="15"/>
      <c r="AE59" s="15"/>
      <c r="AF59" s="14" t="s">
        <v>94</v>
      </c>
      <c r="AG59" s="13">
        <v>0</v>
      </c>
      <c r="AH59" s="13">
        <v>0</v>
      </c>
      <c r="AI59" s="12">
        <v>0</v>
      </c>
      <c r="AJ59" s="12">
        <v>0</v>
      </c>
      <c r="AK59" s="12">
        <v>0</v>
      </c>
      <c r="AL59" s="12">
        <v>0</v>
      </c>
      <c r="AM59" s="12">
        <v>0</v>
      </c>
      <c r="AN59" s="11">
        <v>0</v>
      </c>
      <c r="AO59" s="11">
        <v>7.16</v>
      </c>
      <c r="AP59" s="11">
        <v>0</v>
      </c>
      <c r="AQ59" s="11">
        <v>0</v>
      </c>
      <c r="AR59" s="11">
        <v>0</v>
      </c>
      <c r="AS59" s="11">
        <v>0</v>
      </c>
      <c r="AT59" s="11">
        <v>0</v>
      </c>
      <c r="AU59" s="11">
        <v>0</v>
      </c>
      <c r="AV59" s="11">
        <v>0</v>
      </c>
      <c r="AW59" s="11">
        <v>0</v>
      </c>
      <c r="AX59" s="11">
        <v>0</v>
      </c>
      <c r="AY59" s="11">
        <v>0</v>
      </c>
      <c r="AZ59" s="11">
        <v>0</v>
      </c>
      <c r="BA59" s="11">
        <v>0</v>
      </c>
      <c r="BB59" s="11">
        <v>0</v>
      </c>
      <c r="BC59" s="11">
        <v>0</v>
      </c>
      <c r="BD59" s="11">
        <v>0</v>
      </c>
      <c r="BE59" s="11">
        <v>0</v>
      </c>
      <c r="BF59" s="11">
        <v>0</v>
      </c>
      <c r="BG59" s="11">
        <v>0</v>
      </c>
      <c r="BH59" s="11">
        <v>0</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c r="A60" s="23">
        <v>2017</v>
      </c>
      <c r="B60" s="23">
        <v>2502</v>
      </c>
      <c r="C60" s="23" t="s">
        <v>217</v>
      </c>
      <c r="D60" s="23" t="s">
        <v>218</v>
      </c>
      <c r="E60" s="23" t="s">
        <v>89</v>
      </c>
      <c r="F60" s="23" t="s">
        <v>212</v>
      </c>
      <c r="G60" s="22" t="s">
        <v>91</v>
      </c>
      <c r="H60" s="21">
        <v>39821</v>
      </c>
      <c r="I60" s="21">
        <v>42774</v>
      </c>
      <c r="J60" s="20" t="s">
        <v>209</v>
      </c>
      <c r="K60" s="19">
        <v>0</v>
      </c>
      <c r="L60" s="18">
        <v>0</v>
      </c>
      <c r="M60" s="18">
        <v>0</v>
      </c>
      <c r="N60" s="18">
        <v>30.6</v>
      </c>
      <c r="O60" s="18">
        <v>30.6</v>
      </c>
      <c r="P60" s="18">
        <v>0</v>
      </c>
      <c r="Q60" s="18">
        <v>19.770000000000003</v>
      </c>
      <c r="R60" s="18">
        <v>0</v>
      </c>
      <c r="S60" s="18">
        <v>50.370000000000005</v>
      </c>
      <c r="T60" s="18">
        <v>0</v>
      </c>
      <c r="U60" s="17">
        <v>0</v>
      </c>
      <c r="V60" s="17">
        <v>0</v>
      </c>
      <c r="W60" s="17">
        <v>25.408999999999999</v>
      </c>
      <c r="X60" s="17">
        <v>25.408999999999999</v>
      </c>
      <c r="Y60" s="17">
        <v>0</v>
      </c>
      <c r="Z60" s="17">
        <v>8.83</v>
      </c>
      <c r="AA60" s="17">
        <v>0</v>
      </c>
      <c r="AB60" s="17">
        <v>34.238999999999997</v>
      </c>
      <c r="AC60" s="16" t="s">
        <v>93</v>
      </c>
      <c r="AD60" s="15"/>
      <c r="AE60" s="15"/>
      <c r="AF60" s="14" t="s">
        <v>93</v>
      </c>
      <c r="AG60" s="13">
        <v>0</v>
      </c>
      <c r="AH60" s="13">
        <v>0</v>
      </c>
      <c r="AI60" s="12">
        <v>0</v>
      </c>
      <c r="AJ60" s="12">
        <v>0</v>
      </c>
      <c r="AK60" s="12">
        <v>0</v>
      </c>
      <c r="AL60" s="12">
        <v>0</v>
      </c>
      <c r="AM60" s="12">
        <v>0</v>
      </c>
      <c r="AN60" s="11">
        <v>0</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c r="A61" s="23">
        <v>2017</v>
      </c>
      <c r="B61" s="23">
        <v>2520</v>
      </c>
      <c r="C61" s="23" t="s">
        <v>219</v>
      </c>
      <c r="D61" s="23" t="s">
        <v>220</v>
      </c>
      <c r="E61" s="23" t="s">
        <v>89</v>
      </c>
      <c r="F61" s="23" t="s">
        <v>212</v>
      </c>
      <c r="G61" s="22" t="s">
        <v>91</v>
      </c>
      <c r="H61" s="21">
        <v>39916</v>
      </c>
      <c r="I61" s="21">
        <v>42207</v>
      </c>
      <c r="J61" s="20" t="s">
        <v>209</v>
      </c>
      <c r="K61" s="19">
        <v>0</v>
      </c>
      <c r="L61" s="18">
        <v>0</v>
      </c>
      <c r="M61" s="18">
        <v>0</v>
      </c>
      <c r="N61" s="18">
        <v>166</v>
      </c>
      <c r="O61" s="18">
        <v>166</v>
      </c>
      <c r="P61" s="18">
        <v>0</v>
      </c>
      <c r="Q61" s="18">
        <v>0</v>
      </c>
      <c r="R61" s="18">
        <v>104.2</v>
      </c>
      <c r="S61" s="18">
        <v>270.2</v>
      </c>
      <c r="T61" s="18">
        <v>0</v>
      </c>
      <c r="U61" s="17">
        <v>0</v>
      </c>
      <c r="V61" s="17">
        <v>0</v>
      </c>
      <c r="W61" s="17">
        <v>134.018</v>
      </c>
      <c r="X61" s="17">
        <v>134.018</v>
      </c>
      <c r="Y61" s="17">
        <v>0</v>
      </c>
      <c r="Z61" s="17">
        <v>0</v>
      </c>
      <c r="AA61" s="17">
        <v>29.79</v>
      </c>
      <c r="AB61" s="17">
        <v>163.80799999999999</v>
      </c>
      <c r="AC61" s="16" t="s">
        <v>93</v>
      </c>
      <c r="AD61" s="15"/>
      <c r="AE61" s="15"/>
      <c r="AF61" s="14" t="s">
        <v>94</v>
      </c>
      <c r="AG61" s="13">
        <v>0</v>
      </c>
      <c r="AH61" s="13">
        <v>0</v>
      </c>
      <c r="AI61" s="12">
        <v>0</v>
      </c>
      <c r="AJ61" s="12">
        <v>0</v>
      </c>
      <c r="AK61" s="12">
        <v>0</v>
      </c>
      <c r="AL61" s="12">
        <v>0</v>
      </c>
      <c r="AM61" s="12">
        <v>0</v>
      </c>
      <c r="AN61" s="11">
        <v>0</v>
      </c>
      <c r="AO61" s="11">
        <v>0</v>
      </c>
      <c r="AP61" s="11">
        <v>18440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c r="A62" s="23">
        <v>2017</v>
      </c>
      <c r="B62" s="23">
        <v>2559</v>
      </c>
      <c r="C62" s="23" t="s">
        <v>221</v>
      </c>
      <c r="D62" s="23" t="s">
        <v>222</v>
      </c>
      <c r="E62" s="23" t="s">
        <v>89</v>
      </c>
      <c r="F62" s="23" t="s">
        <v>223</v>
      </c>
      <c r="G62" s="22" t="s">
        <v>99</v>
      </c>
      <c r="H62" s="21">
        <v>40086</v>
      </c>
      <c r="I62" s="21" t="s">
        <v>104</v>
      </c>
      <c r="J62" s="20" t="s">
        <v>209</v>
      </c>
      <c r="K62" s="19">
        <v>0</v>
      </c>
      <c r="L62" s="18">
        <v>0</v>
      </c>
      <c r="M62" s="18">
        <v>0</v>
      </c>
      <c r="N62" s="18">
        <v>100</v>
      </c>
      <c r="O62" s="18">
        <v>100</v>
      </c>
      <c r="P62" s="18"/>
      <c r="Q62" s="18"/>
      <c r="R62" s="18"/>
      <c r="S62" s="18">
        <v>100</v>
      </c>
      <c r="T62" s="18">
        <v>0</v>
      </c>
      <c r="U62" s="17">
        <v>0</v>
      </c>
      <c r="V62" s="17">
        <v>0</v>
      </c>
      <c r="W62" s="17">
        <v>100</v>
      </c>
      <c r="X62" s="17">
        <v>100</v>
      </c>
      <c r="Y62" s="17">
        <v>0</v>
      </c>
      <c r="Z62" s="17">
        <v>0</v>
      </c>
      <c r="AA62" s="17">
        <v>0</v>
      </c>
      <c r="AB62" s="17">
        <v>100</v>
      </c>
      <c r="AC62" s="16" t="s">
        <v>93</v>
      </c>
      <c r="AD62" s="15"/>
      <c r="AE62" s="15"/>
      <c r="AF62" s="14" t="s">
        <v>93</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c r="A63" s="23">
        <v>2017</v>
      </c>
      <c r="B63" s="23">
        <v>2837</v>
      </c>
      <c r="C63" s="23" t="s">
        <v>224</v>
      </c>
      <c r="D63" s="23" t="s">
        <v>225</v>
      </c>
      <c r="E63" s="23" t="s">
        <v>89</v>
      </c>
      <c r="F63" s="23" t="s">
        <v>212</v>
      </c>
      <c r="G63" s="22" t="s">
        <v>91</v>
      </c>
      <c r="H63" s="21">
        <v>40896</v>
      </c>
      <c r="I63" s="21">
        <v>42460</v>
      </c>
      <c r="J63" s="20" t="s">
        <v>209</v>
      </c>
      <c r="K63" s="19">
        <v>0</v>
      </c>
      <c r="L63" s="18">
        <v>0</v>
      </c>
      <c r="M63" s="18">
        <v>0</v>
      </c>
      <c r="N63" s="18">
        <v>24.3</v>
      </c>
      <c r="O63" s="18">
        <v>24.3</v>
      </c>
      <c r="P63" s="18">
        <v>0</v>
      </c>
      <c r="Q63" s="18">
        <v>6</v>
      </c>
      <c r="R63" s="18">
        <v>0</v>
      </c>
      <c r="S63" s="18">
        <v>30.3</v>
      </c>
      <c r="T63" s="18">
        <v>0</v>
      </c>
      <c r="U63" s="17">
        <v>0</v>
      </c>
      <c r="V63" s="17">
        <v>0</v>
      </c>
      <c r="W63" s="17">
        <v>0.52</v>
      </c>
      <c r="X63" s="17">
        <v>0.52</v>
      </c>
      <c r="Y63" s="17">
        <v>0</v>
      </c>
      <c r="Z63" s="17">
        <v>0.36</v>
      </c>
      <c r="AA63" s="17">
        <v>0</v>
      </c>
      <c r="AB63" s="17">
        <v>0.88</v>
      </c>
      <c r="AC63" s="16" t="s">
        <v>93</v>
      </c>
      <c r="AD63" s="15"/>
      <c r="AE63" s="15"/>
      <c r="AF63" s="14" t="s">
        <v>93</v>
      </c>
      <c r="AG63" s="13">
        <v>0</v>
      </c>
      <c r="AH63" s="13">
        <v>0</v>
      </c>
      <c r="AI63" s="12">
        <v>0</v>
      </c>
      <c r="AJ63" s="12">
        <v>0</v>
      </c>
      <c r="AK63" s="12">
        <v>0</v>
      </c>
      <c r="AL63" s="12">
        <v>0</v>
      </c>
      <c r="AM63" s="12">
        <v>0</v>
      </c>
      <c r="AN63" s="11">
        <v>0</v>
      </c>
      <c r="AO63" s="11">
        <v>0</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c r="A64" s="23">
        <v>2017</v>
      </c>
      <c r="B64" s="23" t="s">
        <v>226</v>
      </c>
      <c r="C64" s="23" t="s">
        <v>227</v>
      </c>
      <c r="D64" s="23" t="s">
        <v>228</v>
      </c>
      <c r="E64" s="23" t="s">
        <v>89</v>
      </c>
      <c r="F64" s="23" t="s">
        <v>212</v>
      </c>
      <c r="G64" s="22" t="s">
        <v>91</v>
      </c>
      <c r="H64" s="21">
        <v>39717</v>
      </c>
      <c r="I64" s="21">
        <v>42780</v>
      </c>
      <c r="J64" s="20" t="s">
        <v>209</v>
      </c>
      <c r="K64" s="19">
        <v>16.5</v>
      </c>
      <c r="L64" s="18">
        <v>0</v>
      </c>
      <c r="M64" s="18">
        <v>16.5</v>
      </c>
      <c r="N64" s="18">
        <v>0</v>
      </c>
      <c r="O64" s="18">
        <v>16.5</v>
      </c>
      <c r="P64" s="18">
        <v>30</v>
      </c>
      <c r="Q64" s="18">
        <v>18.100000000000001</v>
      </c>
      <c r="R64" s="18">
        <v>1.8</v>
      </c>
      <c r="S64" s="18">
        <v>66.399999999999991</v>
      </c>
      <c r="T64" s="18">
        <v>16.5</v>
      </c>
      <c r="U64" s="17">
        <v>0</v>
      </c>
      <c r="V64" s="17">
        <v>16.5</v>
      </c>
      <c r="W64" s="17">
        <v>0</v>
      </c>
      <c r="X64" s="17">
        <v>16.5</v>
      </c>
      <c r="Y64" s="17">
        <v>24.55</v>
      </c>
      <c r="Z64" s="17">
        <v>19.79</v>
      </c>
      <c r="AA64" s="17">
        <v>1.29</v>
      </c>
      <c r="AB64" s="17">
        <v>62.129999999999995</v>
      </c>
      <c r="AC64" s="16" t="s">
        <v>94</v>
      </c>
      <c r="AD64" s="15" t="s">
        <v>229</v>
      </c>
      <c r="AE64" s="15"/>
      <c r="AF64" s="14" t="s">
        <v>94</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0</v>
      </c>
      <c r="BB64" s="11">
        <v>0</v>
      </c>
      <c r="BC64" s="11">
        <v>0</v>
      </c>
      <c r="BD64" s="11">
        <v>0</v>
      </c>
      <c r="BE64" s="11">
        <v>0</v>
      </c>
      <c r="BF64" s="11">
        <v>0</v>
      </c>
      <c r="BG64" s="11">
        <v>64583</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c r="A65" s="23">
        <v>2017</v>
      </c>
      <c r="B65" s="23" t="s">
        <v>230</v>
      </c>
      <c r="C65" s="23" t="s">
        <v>231</v>
      </c>
      <c r="D65" s="23" t="s">
        <v>232</v>
      </c>
      <c r="E65" s="23" t="s">
        <v>89</v>
      </c>
      <c r="F65" s="23" t="s">
        <v>233</v>
      </c>
      <c r="G65" s="22" t="s">
        <v>91</v>
      </c>
      <c r="H65" s="21">
        <v>40043</v>
      </c>
      <c r="I65" s="21">
        <v>42065</v>
      </c>
      <c r="J65" s="20" t="s">
        <v>209</v>
      </c>
      <c r="K65" s="19">
        <v>0</v>
      </c>
      <c r="L65" s="18">
        <v>0</v>
      </c>
      <c r="M65" s="18">
        <v>0</v>
      </c>
      <c r="N65" s="18">
        <v>100</v>
      </c>
      <c r="O65" s="18">
        <v>100</v>
      </c>
      <c r="P65" s="18">
        <v>0</v>
      </c>
      <c r="Q65" s="18">
        <v>34.32</v>
      </c>
      <c r="R65" s="18">
        <v>0</v>
      </c>
      <c r="S65" s="18">
        <v>134.32</v>
      </c>
      <c r="T65" s="18">
        <v>0</v>
      </c>
      <c r="U65" s="17">
        <v>0</v>
      </c>
      <c r="V65" s="17">
        <v>0</v>
      </c>
      <c r="W65" s="17">
        <v>95.259</v>
      </c>
      <c r="X65" s="17">
        <v>95.259</v>
      </c>
      <c r="Y65" s="17">
        <v>0</v>
      </c>
      <c r="Z65" s="17">
        <v>13.478999999999999</v>
      </c>
      <c r="AA65" s="17">
        <v>0</v>
      </c>
      <c r="AB65" s="17">
        <v>108.738</v>
      </c>
      <c r="AC65" s="16" t="s">
        <v>93</v>
      </c>
      <c r="AD65" s="15"/>
      <c r="AE65" s="15"/>
      <c r="AF65" s="14" t="s">
        <v>93</v>
      </c>
      <c r="AG65" s="13">
        <v>0</v>
      </c>
      <c r="AH65" s="13">
        <v>0</v>
      </c>
      <c r="AI65" s="12">
        <v>0</v>
      </c>
      <c r="AJ65" s="12">
        <v>0</v>
      </c>
      <c r="AK65" s="12">
        <v>0</v>
      </c>
      <c r="AL65" s="12">
        <v>0</v>
      </c>
      <c r="AM65" s="12">
        <v>0</v>
      </c>
      <c r="AN65" s="11">
        <v>0</v>
      </c>
      <c r="AO65" s="11">
        <v>0</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c r="A66" s="23">
        <v>2018</v>
      </c>
      <c r="B66" s="23">
        <v>2226</v>
      </c>
      <c r="C66" s="23" t="s">
        <v>234</v>
      </c>
      <c r="D66" s="23" t="s">
        <v>235</v>
      </c>
      <c r="E66" s="23" t="s">
        <v>89</v>
      </c>
      <c r="F66" s="23" t="s">
        <v>110</v>
      </c>
      <c r="G66" s="22" t="s">
        <v>91</v>
      </c>
      <c r="H66" s="21">
        <v>38706</v>
      </c>
      <c r="I66" s="21">
        <v>42699</v>
      </c>
      <c r="J66" s="20" t="s">
        <v>209</v>
      </c>
      <c r="K66" s="19">
        <v>0</v>
      </c>
      <c r="L66" s="18">
        <v>0</v>
      </c>
      <c r="M66" s="18">
        <v>0</v>
      </c>
      <c r="N66" s="18">
        <v>221.2</v>
      </c>
      <c r="O66" s="18">
        <v>221.2</v>
      </c>
      <c r="P66" s="18">
        <v>0</v>
      </c>
      <c r="Q66" s="18">
        <v>94.9</v>
      </c>
      <c r="R66" s="18">
        <v>0</v>
      </c>
      <c r="S66" s="18">
        <v>316.10000000000002</v>
      </c>
      <c r="T66" s="18">
        <v>0</v>
      </c>
      <c r="U66" s="17">
        <v>0</v>
      </c>
      <c r="V66" s="17">
        <v>0</v>
      </c>
      <c r="W66" s="17">
        <v>113.881</v>
      </c>
      <c r="X66" s="17">
        <v>113.881</v>
      </c>
      <c r="Y66" s="17">
        <v>0</v>
      </c>
      <c r="Z66" s="17">
        <v>44.15</v>
      </c>
      <c r="AA66" s="17">
        <v>0</v>
      </c>
      <c r="AB66" s="17">
        <v>158.03100000000001</v>
      </c>
      <c r="AC66" s="16" t="s">
        <v>93</v>
      </c>
      <c r="AD66" s="15" t="s">
        <v>236</v>
      </c>
      <c r="AE66" s="15" t="s">
        <v>236</v>
      </c>
      <c r="AF66" s="14" t="s">
        <v>94</v>
      </c>
      <c r="AG66" s="13">
        <v>0</v>
      </c>
      <c r="AH66" s="13">
        <v>0</v>
      </c>
      <c r="AI66" s="12">
        <v>0</v>
      </c>
      <c r="AJ66" s="12">
        <v>0</v>
      </c>
      <c r="AK66" s="12">
        <v>0</v>
      </c>
      <c r="AL66" s="12">
        <v>0</v>
      </c>
      <c r="AM66" s="12">
        <v>0</v>
      </c>
      <c r="AN66" s="11">
        <v>0</v>
      </c>
      <c r="AO66" s="11">
        <v>0</v>
      </c>
      <c r="AP66" s="11">
        <v>0</v>
      </c>
      <c r="AQ66" s="11">
        <v>0</v>
      </c>
      <c r="AR66" s="11">
        <v>0</v>
      </c>
      <c r="AS66" s="11">
        <v>0</v>
      </c>
      <c r="AT66" s="11">
        <v>0</v>
      </c>
      <c r="AU66" s="11">
        <v>0</v>
      </c>
      <c r="AV66" s="11">
        <v>0</v>
      </c>
      <c r="AW66" s="11">
        <v>0</v>
      </c>
      <c r="AX66" s="11">
        <v>0</v>
      </c>
      <c r="AY66" s="11">
        <v>0</v>
      </c>
      <c r="AZ66" s="11">
        <v>0</v>
      </c>
      <c r="BA66" s="11">
        <v>211497</v>
      </c>
      <c r="BB66" s="11">
        <v>0</v>
      </c>
      <c r="BC66" s="11">
        <v>211497</v>
      </c>
      <c r="BD66" s="11">
        <v>0</v>
      </c>
      <c r="BE66" s="11">
        <v>107000</v>
      </c>
      <c r="BF66" s="11">
        <v>67.27</v>
      </c>
      <c r="BG66" s="11">
        <v>7523</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c r="A67" s="23">
        <v>2018</v>
      </c>
      <c r="B67" s="23" t="s">
        <v>237</v>
      </c>
      <c r="C67" s="23" t="s">
        <v>238</v>
      </c>
      <c r="D67" s="23" t="s">
        <v>239</v>
      </c>
      <c r="E67" s="23" t="s">
        <v>89</v>
      </c>
      <c r="F67" s="23" t="s">
        <v>240</v>
      </c>
      <c r="G67" s="22" t="s">
        <v>91</v>
      </c>
      <c r="H67" s="21">
        <v>40400</v>
      </c>
      <c r="I67" s="21">
        <v>42886</v>
      </c>
      <c r="J67" s="20" t="s">
        <v>209</v>
      </c>
      <c r="K67" s="19">
        <v>0</v>
      </c>
      <c r="L67" s="18">
        <v>0</v>
      </c>
      <c r="M67" s="18">
        <v>0</v>
      </c>
      <c r="N67" s="18">
        <v>78</v>
      </c>
      <c r="O67" s="18">
        <v>78</v>
      </c>
      <c r="P67" s="18">
        <v>0</v>
      </c>
      <c r="Q67" s="18">
        <v>0</v>
      </c>
      <c r="R67" s="18">
        <v>0</v>
      </c>
      <c r="S67" s="18">
        <v>78</v>
      </c>
      <c r="T67" s="18">
        <v>0</v>
      </c>
      <c r="U67" s="17">
        <v>0</v>
      </c>
      <c r="V67" s="17">
        <v>0</v>
      </c>
      <c r="W67" s="17">
        <v>60</v>
      </c>
      <c r="X67" s="17">
        <v>60</v>
      </c>
      <c r="Y67" s="17">
        <v>0</v>
      </c>
      <c r="Z67" s="17">
        <v>0</v>
      </c>
      <c r="AA67" s="17">
        <v>0</v>
      </c>
      <c r="AB67" s="17">
        <v>60</v>
      </c>
      <c r="AC67" s="16" t="s">
        <v>93</v>
      </c>
      <c r="AD67" s="15" t="s">
        <v>236</v>
      </c>
      <c r="AE67" s="15" t="s">
        <v>236</v>
      </c>
      <c r="AF67" s="14" t="s">
        <v>94</v>
      </c>
      <c r="AG67" s="13">
        <v>0</v>
      </c>
      <c r="AH67" s="13">
        <v>0</v>
      </c>
      <c r="AI67" s="12">
        <v>0</v>
      </c>
      <c r="AJ67" s="12">
        <v>0</v>
      </c>
      <c r="AK67" s="12">
        <v>0</v>
      </c>
      <c r="AL67" s="12">
        <v>0</v>
      </c>
      <c r="AM67" s="12">
        <v>0</v>
      </c>
      <c r="AN67" s="11">
        <v>0</v>
      </c>
      <c r="AO67" s="11">
        <v>0</v>
      </c>
      <c r="AP67" s="11">
        <v>0</v>
      </c>
      <c r="AQ67" s="11">
        <v>0</v>
      </c>
      <c r="AR67" s="11">
        <v>0</v>
      </c>
      <c r="AS67" s="11">
        <v>262.88</v>
      </c>
      <c r="AT67" s="11">
        <v>0</v>
      </c>
      <c r="AU67" s="11">
        <v>0</v>
      </c>
      <c r="AV67" s="11">
        <v>13.144</v>
      </c>
      <c r="AW67" s="11">
        <v>249.73599999999999</v>
      </c>
      <c r="AX67" s="11">
        <v>0</v>
      </c>
      <c r="AY67" s="11">
        <v>0</v>
      </c>
      <c r="AZ67" s="11">
        <v>0</v>
      </c>
      <c r="BA67" s="11">
        <v>18658</v>
      </c>
      <c r="BB67" s="11">
        <v>932.90000000000009</v>
      </c>
      <c r="BC67" s="11">
        <v>17725.099999999999</v>
      </c>
      <c r="BD67" s="11">
        <v>0</v>
      </c>
      <c r="BE67" s="11">
        <v>0</v>
      </c>
      <c r="BF67" s="11">
        <v>84.9</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c r="A68" s="23">
        <v>2018</v>
      </c>
      <c r="B68" s="23" t="s">
        <v>241</v>
      </c>
      <c r="C68" s="23" t="s">
        <v>242</v>
      </c>
      <c r="D68" s="23" t="s">
        <v>243</v>
      </c>
      <c r="E68" s="23" t="s">
        <v>89</v>
      </c>
      <c r="F68" s="23" t="s">
        <v>240</v>
      </c>
      <c r="G68" s="22" t="s">
        <v>91</v>
      </c>
      <c r="H68" s="21">
        <v>40365</v>
      </c>
      <c r="I68" s="21">
        <v>42005</v>
      </c>
      <c r="J68" s="20" t="s">
        <v>209</v>
      </c>
      <c r="K68" s="19">
        <v>0</v>
      </c>
      <c r="L68" s="18">
        <v>0</v>
      </c>
      <c r="M68" s="18">
        <v>0</v>
      </c>
      <c r="N68" s="18">
        <v>222.2</v>
      </c>
      <c r="O68" s="18">
        <v>222.2</v>
      </c>
      <c r="P68" s="18">
        <v>0</v>
      </c>
      <c r="Q68" s="18">
        <v>67.319999999999993</v>
      </c>
      <c r="R68" s="18">
        <v>0</v>
      </c>
      <c r="S68" s="18">
        <v>289.52</v>
      </c>
      <c r="T68" s="18">
        <v>0</v>
      </c>
      <c r="U68" s="17">
        <v>0</v>
      </c>
      <c r="V68" s="17">
        <v>0</v>
      </c>
      <c r="W68" s="17">
        <v>192.25800000000001</v>
      </c>
      <c r="X68" s="17">
        <v>192.25800000000001</v>
      </c>
      <c r="Y68" s="17">
        <v>0</v>
      </c>
      <c r="Z68" s="17">
        <v>70.040000000000006</v>
      </c>
      <c r="AA68" s="17">
        <v>0</v>
      </c>
      <c r="AB68" s="17">
        <v>262.298</v>
      </c>
      <c r="AC68" s="16" t="s">
        <v>93</v>
      </c>
      <c r="AD68" s="15" t="s">
        <v>236</v>
      </c>
      <c r="AE68" s="15" t="s">
        <v>236</v>
      </c>
      <c r="AF68" s="14" t="s">
        <v>94</v>
      </c>
      <c r="AG68" s="13">
        <v>0</v>
      </c>
      <c r="AH68" s="13">
        <v>0</v>
      </c>
      <c r="AI68" s="12">
        <v>0</v>
      </c>
      <c r="AJ68" s="12">
        <v>0</v>
      </c>
      <c r="AK68" s="12">
        <v>0</v>
      </c>
      <c r="AL68" s="12">
        <v>0</v>
      </c>
      <c r="AM68" s="12">
        <v>0</v>
      </c>
      <c r="AN68" s="11">
        <v>0</v>
      </c>
      <c r="AO68" s="11">
        <v>0</v>
      </c>
      <c r="AP68" s="11">
        <v>0</v>
      </c>
      <c r="AQ68" s="11">
        <v>1195089</v>
      </c>
      <c r="AR68" s="11">
        <v>0</v>
      </c>
      <c r="AS68" s="11">
        <v>4476.7</v>
      </c>
      <c r="AT68" s="11">
        <v>0</v>
      </c>
      <c r="AU68" s="11">
        <v>0</v>
      </c>
      <c r="AV68" s="11">
        <v>4476.7</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c r="A69" s="23">
        <v>2018</v>
      </c>
      <c r="B69" s="23">
        <v>2443</v>
      </c>
      <c r="C69" s="23" t="s">
        <v>244</v>
      </c>
      <c r="D69" s="23" t="s">
        <v>245</v>
      </c>
      <c r="E69" s="23" t="s">
        <v>89</v>
      </c>
      <c r="F69" s="23" t="s">
        <v>110</v>
      </c>
      <c r="G69" s="22" t="s">
        <v>91</v>
      </c>
      <c r="H69" s="21">
        <v>39709</v>
      </c>
      <c r="I69" s="21">
        <v>41302</v>
      </c>
      <c r="J69" s="20" t="s">
        <v>209</v>
      </c>
      <c r="K69" s="19">
        <v>0</v>
      </c>
      <c r="L69" s="18">
        <v>0</v>
      </c>
      <c r="M69" s="18">
        <v>0</v>
      </c>
      <c r="N69" s="18">
        <v>420</v>
      </c>
      <c r="O69" s="18">
        <v>420</v>
      </c>
      <c r="P69" s="18">
        <v>0</v>
      </c>
      <c r="Q69" s="18">
        <v>48</v>
      </c>
      <c r="R69" s="18">
        <v>0</v>
      </c>
      <c r="S69" s="18">
        <v>468</v>
      </c>
      <c r="T69" s="18">
        <v>0</v>
      </c>
      <c r="U69" s="17">
        <v>0</v>
      </c>
      <c r="V69" s="17">
        <v>0</v>
      </c>
      <c r="W69" s="17">
        <v>351.52</v>
      </c>
      <c r="X69" s="17">
        <v>351.52</v>
      </c>
      <c r="Y69" s="17">
        <v>0</v>
      </c>
      <c r="Z69" s="17">
        <v>99.1</v>
      </c>
      <c r="AA69" s="17">
        <v>0</v>
      </c>
      <c r="AB69" s="17">
        <v>450.62</v>
      </c>
      <c r="AC69" s="16" t="s">
        <v>93</v>
      </c>
      <c r="AD69" s="15" t="s">
        <v>236</v>
      </c>
      <c r="AE69" s="15" t="s">
        <v>236</v>
      </c>
      <c r="AF69" s="14" t="s">
        <v>94</v>
      </c>
      <c r="AG69" s="13">
        <v>0</v>
      </c>
      <c r="AH69" s="13">
        <v>0</v>
      </c>
      <c r="AI69" s="12">
        <v>0</v>
      </c>
      <c r="AJ69" s="12">
        <v>0</v>
      </c>
      <c r="AK69" s="12">
        <v>0</v>
      </c>
      <c r="AL69" s="12">
        <v>0</v>
      </c>
      <c r="AM69" s="12">
        <v>0</v>
      </c>
      <c r="AN69" s="11">
        <v>0</v>
      </c>
      <c r="AO69" s="11">
        <v>0</v>
      </c>
      <c r="AP69" s="11">
        <v>0</v>
      </c>
      <c r="AQ69" s="11">
        <v>3404528</v>
      </c>
      <c r="AR69" s="11">
        <v>0</v>
      </c>
      <c r="AS69" s="11">
        <v>825.2</v>
      </c>
      <c r="AT69" s="11">
        <v>0</v>
      </c>
      <c r="AU69" s="11">
        <v>0</v>
      </c>
      <c r="AV69" s="11">
        <v>825.2</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c r="A70" s="23">
        <v>2018</v>
      </c>
      <c r="B70" s="23">
        <v>2617</v>
      </c>
      <c r="C70" s="23" t="s">
        <v>246</v>
      </c>
      <c r="D70" s="23" t="s">
        <v>247</v>
      </c>
      <c r="E70" s="23" t="s">
        <v>89</v>
      </c>
      <c r="F70" s="23" t="s">
        <v>110</v>
      </c>
      <c r="G70" s="22" t="s">
        <v>91</v>
      </c>
      <c r="H70" s="21">
        <v>40235</v>
      </c>
      <c r="I70" s="21">
        <v>42185</v>
      </c>
      <c r="J70" s="20" t="s">
        <v>209</v>
      </c>
      <c r="K70" s="19">
        <v>0</v>
      </c>
      <c r="L70" s="18">
        <v>0</v>
      </c>
      <c r="M70" s="18">
        <v>0</v>
      </c>
      <c r="N70" s="18">
        <v>50</v>
      </c>
      <c r="O70" s="18">
        <v>50</v>
      </c>
      <c r="P70" s="18">
        <v>0</v>
      </c>
      <c r="Q70" s="18">
        <v>0</v>
      </c>
      <c r="R70" s="18">
        <v>0</v>
      </c>
      <c r="S70" s="18">
        <v>50</v>
      </c>
      <c r="T70" s="18">
        <v>0</v>
      </c>
      <c r="U70" s="17">
        <v>0</v>
      </c>
      <c r="V70" s="17">
        <v>0</v>
      </c>
      <c r="W70" s="17">
        <v>35.710999999999999</v>
      </c>
      <c r="X70" s="17">
        <v>35.710999999999999</v>
      </c>
      <c r="Y70" s="17">
        <v>0</v>
      </c>
      <c r="Z70" s="17">
        <v>0</v>
      </c>
      <c r="AA70" s="17">
        <v>0</v>
      </c>
      <c r="AB70" s="17">
        <v>35.710999999999999</v>
      </c>
      <c r="AC70" s="16" t="s">
        <v>93</v>
      </c>
      <c r="AD70" s="15" t="s">
        <v>236</v>
      </c>
      <c r="AE70" s="15" t="s">
        <v>236</v>
      </c>
      <c r="AF70" s="14" t="s">
        <v>94</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0</v>
      </c>
      <c r="BH70" s="11">
        <v>0</v>
      </c>
      <c r="BI70" s="11">
        <v>0</v>
      </c>
      <c r="BJ70" s="11">
        <v>0</v>
      </c>
      <c r="BK70" s="11">
        <v>0</v>
      </c>
      <c r="BL70" s="11">
        <v>9007</v>
      </c>
      <c r="BM70" s="11">
        <v>0</v>
      </c>
      <c r="BN70" s="11">
        <v>0</v>
      </c>
      <c r="BO70" s="11">
        <v>0</v>
      </c>
      <c r="BP70" s="11">
        <v>0</v>
      </c>
      <c r="BQ70" s="11">
        <v>0</v>
      </c>
      <c r="BR70" s="11">
        <v>0</v>
      </c>
      <c r="BS70" s="11">
        <v>0</v>
      </c>
      <c r="BT70" s="11">
        <v>0</v>
      </c>
      <c r="BU70" s="11">
        <v>0</v>
      </c>
      <c r="BV70" s="11">
        <v>0</v>
      </c>
      <c r="BW70" s="11">
        <v>0</v>
      </c>
      <c r="BX70" s="11">
        <v>0</v>
      </c>
      <c r="BY70" s="11">
        <v>0</v>
      </c>
    </row>
    <row r="71" spans="1:77">
      <c r="A71" s="23">
        <v>2018</v>
      </c>
      <c r="B71" s="23" t="s">
        <v>248</v>
      </c>
      <c r="C71" s="23" t="s">
        <v>249</v>
      </c>
      <c r="D71" s="23" t="s">
        <v>250</v>
      </c>
      <c r="E71" s="23" t="s">
        <v>89</v>
      </c>
      <c r="F71" s="23" t="s">
        <v>240</v>
      </c>
      <c r="G71" s="22" t="s">
        <v>91</v>
      </c>
      <c r="H71" s="21">
        <v>40533</v>
      </c>
      <c r="I71" s="21">
        <v>42181</v>
      </c>
      <c r="J71" s="20" t="s">
        <v>209</v>
      </c>
      <c r="K71" s="19">
        <v>0</v>
      </c>
      <c r="L71" s="18">
        <v>0</v>
      </c>
      <c r="M71" s="18">
        <v>0</v>
      </c>
      <c r="N71" s="18">
        <v>69</v>
      </c>
      <c r="O71" s="18">
        <v>69</v>
      </c>
      <c r="P71" s="18">
        <v>0</v>
      </c>
      <c r="Q71" s="18">
        <v>56.5</v>
      </c>
      <c r="R71" s="18">
        <v>0</v>
      </c>
      <c r="S71" s="18">
        <v>125.5</v>
      </c>
      <c r="T71" s="18">
        <v>0</v>
      </c>
      <c r="U71" s="17">
        <v>0</v>
      </c>
      <c r="V71" s="17">
        <v>0</v>
      </c>
      <c r="W71" s="17">
        <v>55.354999999999997</v>
      </c>
      <c r="X71" s="17">
        <v>55.354999999999997</v>
      </c>
      <c r="Y71" s="17">
        <v>0</v>
      </c>
      <c r="Z71" s="17">
        <v>25.87</v>
      </c>
      <c r="AA71" s="17">
        <v>0</v>
      </c>
      <c r="AB71" s="17">
        <v>81.224999999999994</v>
      </c>
      <c r="AC71" s="16" t="s">
        <v>93</v>
      </c>
      <c r="AD71" s="15" t="s">
        <v>236</v>
      </c>
      <c r="AE71" s="15" t="s">
        <v>236</v>
      </c>
      <c r="AF71" s="14" t="s">
        <v>94</v>
      </c>
      <c r="AG71" s="13">
        <v>0</v>
      </c>
      <c r="AH71" s="13">
        <v>0</v>
      </c>
      <c r="AI71" s="12">
        <v>0</v>
      </c>
      <c r="AJ71" s="12">
        <v>0</v>
      </c>
      <c r="AK71" s="12">
        <v>0</v>
      </c>
      <c r="AL71" s="12">
        <v>0</v>
      </c>
      <c r="AM71" s="12">
        <v>0</v>
      </c>
      <c r="AN71" s="11">
        <v>0</v>
      </c>
      <c r="AO71" s="11">
        <v>0</v>
      </c>
      <c r="AP71" s="11">
        <v>1096</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0</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c r="A72" s="23">
        <v>2018</v>
      </c>
      <c r="B72" s="23">
        <v>3195</v>
      </c>
      <c r="C72" s="23" t="s">
        <v>251</v>
      </c>
      <c r="D72" s="23" t="s">
        <v>252</v>
      </c>
      <c r="E72" s="23" t="s">
        <v>89</v>
      </c>
      <c r="F72" s="23" t="s">
        <v>103</v>
      </c>
      <c r="G72" s="22" t="s">
        <v>99</v>
      </c>
      <c r="H72" s="21">
        <v>41957</v>
      </c>
      <c r="I72" s="21" t="s">
        <v>104</v>
      </c>
      <c r="J72" s="20" t="s">
        <v>209</v>
      </c>
      <c r="K72" s="19">
        <v>0</v>
      </c>
      <c r="L72" s="19">
        <v>0</v>
      </c>
      <c r="M72" s="19">
        <v>0</v>
      </c>
      <c r="N72" s="18">
        <v>200</v>
      </c>
      <c r="O72" s="18">
        <v>200</v>
      </c>
      <c r="P72" s="18">
        <v>0</v>
      </c>
      <c r="Q72" s="18">
        <v>0</v>
      </c>
      <c r="R72" s="18">
        <v>0</v>
      </c>
      <c r="S72" s="18">
        <v>0</v>
      </c>
      <c r="T72" s="18"/>
      <c r="U72" s="17"/>
      <c r="V72" s="17"/>
      <c r="W72" s="17">
        <v>200</v>
      </c>
      <c r="X72" s="17">
        <v>200</v>
      </c>
      <c r="Y72" s="17">
        <v>0</v>
      </c>
      <c r="Z72" s="17">
        <v>0</v>
      </c>
      <c r="AA72" s="17">
        <v>0</v>
      </c>
      <c r="AB72" s="17">
        <v>200</v>
      </c>
      <c r="AC72" s="16" t="s">
        <v>93</v>
      </c>
      <c r="AD72" s="15" t="s">
        <v>236</v>
      </c>
      <c r="AE72" s="15" t="s">
        <v>236</v>
      </c>
      <c r="AF72" s="14" t="s">
        <v>94</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1290358</v>
      </c>
      <c r="BJ72" s="11">
        <v>1290358</v>
      </c>
      <c r="BK72" s="11">
        <v>0</v>
      </c>
      <c r="BL72" s="11">
        <v>383049</v>
      </c>
      <c r="BM72" s="11">
        <v>0</v>
      </c>
      <c r="BN72" s="11">
        <v>0</v>
      </c>
      <c r="BO72" s="11">
        <v>0</v>
      </c>
      <c r="BP72" s="11">
        <v>0</v>
      </c>
      <c r="BQ72" s="11">
        <v>0</v>
      </c>
      <c r="BR72" s="11">
        <v>0</v>
      </c>
      <c r="BS72" s="11">
        <v>0</v>
      </c>
      <c r="BT72" s="11">
        <v>0</v>
      </c>
      <c r="BU72" s="11">
        <v>0</v>
      </c>
      <c r="BV72" s="11">
        <v>0</v>
      </c>
      <c r="BW72" s="11">
        <v>0</v>
      </c>
      <c r="BX72" s="11">
        <v>0</v>
      </c>
      <c r="BY72" s="11">
        <v>0</v>
      </c>
    </row>
    <row r="73" spans="1:77">
      <c r="A73" s="23">
        <v>2018</v>
      </c>
      <c r="B73" s="23">
        <v>7205</v>
      </c>
      <c r="C73" s="23" t="s">
        <v>253</v>
      </c>
      <c r="D73" s="23" t="s">
        <v>254</v>
      </c>
      <c r="E73" s="23" t="s">
        <v>89</v>
      </c>
      <c r="F73" s="23" t="s">
        <v>98</v>
      </c>
      <c r="G73" s="22" t="s">
        <v>99</v>
      </c>
      <c r="H73" s="21">
        <v>38317</v>
      </c>
      <c r="I73" s="21" t="s">
        <v>104</v>
      </c>
      <c r="J73" s="20" t="s">
        <v>209</v>
      </c>
      <c r="K73" s="19">
        <v>0</v>
      </c>
      <c r="L73" s="19">
        <v>0</v>
      </c>
      <c r="M73" s="19">
        <v>0</v>
      </c>
      <c r="N73" s="18">
        <v>20</v>
      </c>
      <c r="O73" s="18">
        <v>20</v>
      </c>
      <c r="P73" s="18">
        <v>0</v>
      </c>
      <c r="Q73" s="18">
        <v>0</v>
      </c>
      <c r="R73" s="18">
        <v>0</v>
      </c>
      <c r="S73" s="18">
        <v>20</v>
      </c>
      <c r="T73" s="18"/>
      <c r="U73" s="17"/>
      <c r="V73" s="17"/>
      <c r="W73" s="17">
        <v>17</v>
      </c>
      <c r="X73" s="17">
        <v>17</v>
      </c>
      <c r="Y73" s="17">
        <v>0</v>
      </c>
      <c r="Z73" s="17">
        <v>0</v>
      </c>
      <c r="AA73" s="17">
        <v>0</v>
      </c>
      <c r="AB73" s="17">
        <v>17</v>
      </c>
      <c r="AC73" s="16" t="s">
        <v>93</v>
      </c>
      <c r="AD73" s="15" t="s">
        <v>236</v>
      </c>
      <c r="AE73" s="15" t="s">
        <v>236</v>
      </c>
      <c r="AF73" s="14" t="s">
        <v>93</v>
      </c>
      <c r="AG73" s="13">
        <v>0</v>
      </c>
      <c r="AH73" s="13">
        <v>0</v>
      </c>
      <c r="AI73" s="12">
        <v>0</v>
      </c>
      <c r="AJ73" s="12">
        <v>0</v>
      </c>
      <c r="AK73" s="12">
        <v>0</v>
      </c>
      <c r="AL73" s="12">
        <v>0</v>
      </c>
      <c r="AM73" s="12">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c r="BV73" s="11">
        <v>0</v>
      </c>
      <c r="BW73" s="11">
        <v>0</v>
      </c>
      <c r="BX73" s="11">
        <v>0</v>
      </c>
      <c r="BY73" s="11">
        <v>0</v>
      </c>
    </row>
    <row r="74" spans="1:77">
      <c r="A74" s="23">
        <v>2018</v>
      </c>
      <c r="B74" s="23">
        <v>7228</v>
      </c>
      <c r="C74" s="23" t="s">
        <v>255</v>
      </c>
      <c r="D74" s="23" t="s">
        <v>256</v>
      </c>
      <c r="E74" s="23" t="s">
        <v>89</v>
      </c>
      <c r="F74" s="23" t="s">
        <v>98</v>
      </c>
      <c r="G74" s="22" t="s">
        <v>99</v>
      </c>
      <c r="H74" s="21">
        <v>38749</v>
      </c>
      <c r="I74" s="21" t="s">
        <v>104</v>
      </c>
      <c r="J74" s="20" t="s">
        <v>209</v>
      </c>
      <c r="K74" s="19">
        <v>0</v>
      </c>
      <c r="L74" s="19">
        <v>0</v>
      </c>
      <c r="M74" s="19">
        <v>0</v>
      </c>
      <c r="N74" s="18">
        <v>45</v>
      </c>
      <c r="O74" s="18">
        <v>45</v>
      </c>
      <c r="P74" s="18">
        <v>0</v>
      </c>
      <c r="Q74" s="18">
        <v>0</v>
      </c>
      <c r="R74" s="18">
        <v>0</v>
      </c>
      <c r="S74" s="18">
        <v>45</v>
      </c>
      <c r="T74" s="18"/>
      <c r="U74" s="17"/>
      <c r="V74" s="17"/>
      <c r="W74" s="17">
        <v>45</v>
      </c>
      <c r="X74" s="17">
        <v>45</v>
      </c>
      <c r="Y74" s="17">
        <v>0</v>
      </c>
      <c r="Z74" s="17">
        <v>0</v>
      </c>
      <c r="AA74" s="17">
        <v>0</v>
      </c>
      <c r="AB74" s="17">
        <v>45</v>
      </c>
      <c r="AC74" s="16" t="s">
        <v>93</v>
      </c>
      <c r="AD74" s="15" t="s">
        <v>236</v>
      </c>
      <c r="AE74" s="15" t="s">
        <v>236</v>
      </c>
      <c r="AF74" s="14" t="s">
        <v>93</v>
      </c>
      <c r="AG74" s="13">
        <v>0</v>
      </c>
      <c r="AH74" s="13">
        <v>0</v>
      </c>
      <c r="AI74" s="12">
        <v>0</v>
      </c>
      <c r="AJ74" s="12">
        <v>0</v>
      </c>
      <c r="AK74" s="12">
        <v>0</v>
      </c>
      <c r="AL74" s="12">
        <v>0</v>
      </c>
      <c r="AM74" s="12">
        <v>0</v>
      </c>
      <c r="AN74" s="11">
        <v>0</v>
      </c>
      <c r="AO74" s="11">
        <v>0</v>
      </c>
      <c r="AP74" s="11">
        <v>0</v>
      </c>
      <c r="AQ74" s="11">
        <v>0</v>
      </c>
      <c r="AR74" s="11">
        <v>0</v>
      </c>
      <c r="AS74" s="11">
        <v>0</v>
      </c>
      <c r="AT74" s="11">
        <v>0</v>
      </c>
      <c r="AU74" s="11">
        <v>0</v>
      </c>
      <c r="AV74" s="11">
        <v>0</v>
      </c>
      <c r="AW74" s="11">
        <v>0</v>
      </c>
      <c r="AX74" s="11">
        <v>0</v>
      </c>
      <c r="AY74" s="11">
        <v>0</v>
      </c>
      <c r="AZ74" s="11">
        <v>0</v>
      </c>
      <c r="BA74" s="11">
        <v>0</v>
      </c>
      <c r="BB74" s="11">
        <v>0</v>
      </c>
      <c r="BC74" s="11">
        <v>0</v>
      </c>
      <c r="BD74" s="11">
        <v>0</v>
      </c>
      <c r="BE74" s="11">
        <v>0</v>
      </c>
      <c r="BF74" s="11">
        <v>0</v>
      </c>
      <c r="BG74" s="11">
        <v>0</v>
      </c>
      <c r="BH74" s="11">
        <v>0</v>
      </c>
      <c r="BI74" s="11">
        <v>0</v>
      </c>
      <c r="BJ74" s="11">
        <v>0</v>
      </c>
      <c r="BK74" s="11">
        <v>0</v>
      </c>
      <c r="BL74" s="11">
        <v>0</v>
      </c>
      <c r="BM74" s="11">
        <v>0</v>
      </c>
      <c r="BN74" s="11">
        <v>0</v>
      </c>
      <c r="BO74" s="11">
        <v>0</v>
      </c>
      <c r="BP74" s="11">
        <v>0</v>
      </c>
      <c r="BQ74" s="11">
        <v>0</v>
      </c>
      <c r="BR74" s="11">
        <v>0</v>
      </c>
      <c r="BS74" s="11">
        <v>0</v>
      </c>
      <c r="BT74" s="11">
        <v>0</v>
      </c>
      <c r="BU74" s="11">
        <v>0</v>
      </c>
      <c r="BV74" s="11">
        <v>0</v>
      </c>
      <c r="BW74" s="11">
        <v>0</v>
      </c>
      <c r="BX74" s="11">
        <v>0</v>
      </c>
      <c r="BY74" s="11">
        <v>0</v>
      </c>
    </row>
    <row r="75" spans="1:77">
      <c r="A75" s="23">
        <v>2018</v>
      </c>
      <c r="B75" s="23">
        <v>7234</v>
      </c>
      <c r="C75" s="23" t="s">
        <v>257</v>
      </c>
      <c r="D75" s="23" t="s">
        <v>258</v>
      </c>
      <c r="E75" s="23" t="s">
        <v>89</v>
      </c>
      <c r="F75" s="23" t="s">
        <v>98</v>
      </c>
      <c r="G75" s="22" t="s">
        <v>99</v>
      </c>
      <c r="H75" s="21">
        <v>38876</v>
      </c>
      <c r="I75" s="21" t="s">
        <v>104</v>
      </c>
      <c r="J75" s="20" t="s">
        <v>209</v>
      </c>
      <c r="K75" s="19">
        <v>0</v>
      </c>
      <c r="L75" s="19">
        <v>0</v>
      </c>
      <c r="M75" s="19">
        <v>0</v>
      </c>
      <c r="N75" s="18">
        <v>25</v>
      </c>
      <c r="O75" s="18">
        <v>25</v>
      </c>
      <c r="P75" s="18">
        <v>0</v>
      </c>
      <c r="Q75" s="18">
        <v>0</v>
      </c>
      <c r="R75" s="18">
        <v>0</v>
      </c>
      <c r="S75" s="18">
        <v>25</v>
      </c>
      <c r="T75" s="18"/>
      <c r="U75" s="17"/>
      <c r="V75" s="17"/>
      <c r="W75" s="17">
        <v>20</v>
      </c>
      <c r="X75" s="17">
        <v>20</v>
      </c>
      <c r="Y75" s="17">
        <v>0</v>
      </c>
      <c r="Z75" s="17">
        <v>0</v>
      </c>
      <c r="AA75" s="17">
        <v>0</v>
      </c>
      <c r="AB75" s="17">
        <v>20</v>
      </c>
      <c r="AC75" s="16" t="s">
        <v>93</v>
      </c>
      <c r="AD75" s="15" t="s">
        <v>236</v>
      </c>
      <c r="AE75" s="15" t="s">
        <v>236</v>
      </c>
      <c r="AF75" s="14" t="s">
        <v>94</v>
      </c>
      <c r="AG75" s="13">
        <v>0</v>
      </c>
      <c r="AH75" s="13">
        <v>0</v>
      </c>
      <c r="AI75" s="12">
        <v>0</v>
      </c>
      <c r="AJ75" s="12">
        <v>0</v>
      </c>
      <c r="AK75" s="12">
        <v>0</v>
      </c>
      <c r="AL75" s="12">
        <v>0</v>
      </c>
      <c r="AM75" s="12">
        <v>0</v>
      </c>
      <c r="AN75" s="11">
        <v>0</v>
      </c>
      <c r="AO75" s="11">
        <v>0</v>
      </c>
      <c r="AP75" s="11">
        <v>0</v>
      </c>
      <c r="AQ75" s="11">
        <v>0</v>
      </c>
      <c r="AR75" s="11">
        <v>0</v>
      </c>
      <c r="AS75" s="11">
        <v>0</v>
      </c>
      <c r="AT75" s="11">
        <v>0</v>
      </c>
      <c r="AU75" s="11">
        <v>0</v>
      </c>
      <c r="AV75" s="11">
        <v>0</v>
      </c>
      <c r="AW75" s="11">
        <v>0</v>
      </c>
      <c r="AX75" s="11">
        <v>0</v>
      </c>
      <c r="AY75" s="11">
        <v>0</v>
      </c>
      <c r="AZ75" s="11">
        <v>0</v>
      </c>
      <c r="BA75" s="11">
        <v>0</v>
      </c>
      <c r="BB75" s="11">
        <v>0</v>
      </c>
      <c r="BC75" s="11">
        <v>0</v>
      </c>
      <c r="BD75" s="11">
        <v>0</v>
      </c>
      <c r="BE75" s="11">
        <v>0</v>
      </c>
      <c r="BF75" s="11">
        <v>0</v>
      </c>
      <c r="BG75" s="11">
        <v>0</v>
      </c>
      <c r="BH75" s="11">
        <v>0</v>
      </c>
      <c r="BI75" s="11">
        <v>0</v>
      </c>
      <c r="BJ75" s="11">
        <v>0</v>
      </c>
      <c r="BK75" s="11">
        <v>0</v>
      </c>
      <c r="BL75" s="11">
        <v>0</v>
      </c>
      <c r="BM75" s="11">
        <v>0</v>
      </c>
      <c r="BN75" s="11">
        <v>0</v>
      </c>
      <c r="BO75" s="11">
        <v>0</v>
      </c>
      <c r="BP75" s="11">
        <v>0</v>
      </c>
      <c r="BQ75" s="11">
        <v>0</v>
      </c>
      <c r="BR75" s="11">
        <v>0</v>
      </c>
      <c r="BS75" s="11">
        <v>0</v>
      </c>
      <c r="BT75" s="11">
        <v>0</v>
      </c>
      <c r="BU75" s="11">
        <v>0</v>
      </c>
      <c r="BV75" s="11">
        <v>0</v>
      </c>
      <c r="BW75" s="11">
        <v>0</v>
      </c>
      <c r="BX75" s="11">
        <v>0</v>
      </c>
      <c r="BY75" s="11">
        <v>0</v>
      </c>
    </row>
    <row r="76" spans="1:77">
      <c r="A76" s="23">
        <v>2018</v>
      </c>
      <c r="B76" s="23">
        <v>3192</v>
      </c>
      <c r="C76" s="23" t="s">
        <v>259</v>
      </c>
      <c r="D76" s="23" t="s">
        <v>260</v>
      </c>
      <c r="E76" s="23" t="s">
        <v>89</v>
      </c>
      <c r="F76" s="23" t="s">
        <v>103</v>
      </c>
      <c r="G76" s="22" t="s">
        <v>99</v>
      </c>
      <c r="H76" s="21">
        <v>41961</v>
      </c>
      <c r="I76" s="21" t="s">
        <v>104</v>
      </c>
      <c r="J76" s="20" t="s">
        <v>209</v>
      </c>
      <c r="K76" s="19">
        <v>0</v>
      </c>
      <c r="L76" s="19">
        <v>0</v>
      </c>
      <c r="M76" s="19">
        <v>0</v>
      </c>
      <c r="N76" s="18">
        <v>125</v>
      </c>
      <c r="O76" s="18">
        <v>125</v>
      </c>
      <c r="P76" s="18">
        <v>0</v>
      </c>
      <c r="Q76" s="18">
        <v>0</v>
      </c>
      <c r="R76" s="18">
        <v>0</v>
      </c>
      <c r="S76" s="18">
        <v>125</v>
      </c>
      <c r="T76" s="18"/>
      <c r="U76" s="17"/>
      <c r="V76" s="17"/>
      <c r="W76" s="17">
        <v>125</v>
      </c>
      <c r="X76" s="17">
        <v>125</v>
      </c>
      <c r="Y76" s="17">
        <v>0</v>
      </c>
      <c r="Z76" s="17">
        <v>0</v>
      </c>
      <c r="AA76" s="17">
        <v>0</v>
      </c>
      <c r="AB76" s="17">
        <v>125</v>
      </c>
      <c r="AC76" s="16" t="s">
        <v>93</v>
      </c>
      <c r="AD76" s="15" t="s">
        <v>236</v>
      </c>
      <c r="AE76" s="15" t="s">
        <v>236</v>
      </c>
      <c r="AF76" s="14" t="s">
        <v>94</v>
      </c>
      <c r="AG76" s="13">
        <v>0</v>
      </c>
      <c r="AH76" s="13">
        <v>0</v>
      </c>
      <c r="AI76" s="12">
        <v>0</v>
      </c>
      <c r="AJ76" s="12">
        <v>0</v>
      </c>
      <c r="AK76" s="12">
        <v>0</v>
      </c>
      <c r="AL76" s="12">
        <v>0</v>
      </c>
      <c r="AM76" s="12">
        <v>0</v>
      </c>
      <c r="AN76" s="11">
        <v>0</v>
      </c>
      <c r="AO76" s="11">
        <v>0</v>
      </c>
      <c r="AP76" s="11">
        <v>0</v>
      </c>
      <c r="AQ76" s="11">
        <v>0</v>
      </c>
      <c r="AR76" s="11">
        <v>0</v>
      </c>
      <c r="AS76" s="11">
        <v>0</v>
      </c>
      <c r="AT76" s="11">
        <v>0</v>
      </c>
      <c r="AU76" s="11">
        <v>0</v>
      </c>
      <c r="AV76" s="11">
        <v>0</v>
      </c>
      <c r="AW76" s="11">
        <v>0</v>
      </c>
      <c r="AX76" s="11">
        <v>0</v>
      </c>
      <c r="AY76" s="11">
        <v>0</v>
      </c>
      <c r="AZ76" s="11">
        <v>0</v>
      </c>
      <c r="BA76" s="11">
        <v>0</v>
      </c>
      <c r="BB76" s="11">
        <v>0</v>
      </c>
      <c r="BC76" s="11">
        <v>0</v>
      </c>
      <c r="BD76" s="11">
        <v>0</v>
      </c>
      <c r="BE76" s="11">
        <v>0</v>
      </c>
      <c r="BF76" s="11">
        <v>0</v>
      </c>
      <c r="BG76" s="11">
        <v>0</v>
      </c>
      <c r="BH76" s="11">
        <v>0</v>
      </c>
      <c r="BI76" s="11">
        <v>0</v>
      </c>
      <c r="BJ76" s="11">
        <v>0</v>
      </c>
      <c r="BK76" s="11">
        <v>0</v>
      </c>
      <c r="BL76" s="11">
        <v>0</v>
      </c>
      <c r="BM76" s="11">
        <v>0</v>
      </c>
      <c r="BN76" s="11">
        <v>0</v>
      </c>
      <c r="BO76" s="11">
        <v>0</v>
      </c>
      <c r="BP76" s="11">
        <v>0</v>
      </c>
      <c r="BQ76" s="11">
        <v>0</v>
      </c>
      <c r="BR76" s="11">
        <v>0</v>
      </c>
      <c r="BS76" s="11">
        <v>0</v>
      </c>
      <c r="BT76" s="11">
        <v>0</v>
      </c>
      <c r="BU76" s="11">
        <v>0</v>
      </c>
      <c r="BV76" s="11">
        <v>0</v>
      </c>
      <c r="BW76" s="11">
        <v>0</v>
      </c>
      <c r="BX76" s="11">
        <v>0</v>
      </c>
      <c r="BY76" s="11">
        <v>0</v>
      </c>
    </row>
    <row r="77" spans="1:77">
      <c r="A77" s="23">
        <v>2018</v>
      </c>
      <c r="B77" s="23">
        <v>3196</v>
      </c>
      <c r="C77" s="23" t="s">
        <v>261</v>
      </c>
      <c r="D77" s="23" t="s">
        <v>252</v>
      </c>
      <c r="E77" s="23" t="s">
        <v>89</v>
      </c>
      <c r="F77" s="23" t="s">
        <v>103</v>
      </c>
      <c r="G77" s="22" t="s">
        <v>99</v>
      </c>
      <c r="H77" s="21">
        <v>41961</v>
      </c>
      <c r="I77" s="21" t="s">
        <v>104</v>
      </c>
      <c r="J77" s="20" t="s">
        <v>209</v>
      </c>
      <c r="K77" s="19">
        <v>0</v>
      </c>
      <c r="L77" s="19">
        <v>0</v>
      </c>
      <c r="M77" s="19">
        <v>0</v>
      </c>
      <c r="N77" s="18">
        <v>200</v>
      </c>
      <c r="O77" s="18">
        <v>200</v>
      </c>
      <c r="P77" s="18">
        <v>0</v>
      </c>
      <c r="Q77" s="18">
        <v>0</v>
      </c>
      <c r="R77" s="18">
        <v>0</v>
      </c>
      <c r="S77" s="18">
        <v>200</v>
      </c>
      <c r="T77" s="18"/>
      <c r="U77" s="17"/>
      <c r="V77" s="17"/>
      <c r="W77" s="17">
        <v>200</v>
      </c>
      <c r="X77" s="17">
        <v>200</v>
      </c>
      <c r="Y77" s="17">
        <v>0</v>
      </c>
      <c r="Z77" s="17">
        <v>0</v>
      </c>
      <c r="AA77" s="17">
        <v>0</v>
      </c>
      <c r="AB77" s="17">
        <v>200</v>
      </c>
      <c r="AC77" s="16" t="s">
        <v>93</v>
      </c>
      <c r="AD77" s="15" t="s">
        <v>236</v>
      </c>
      <c r="AE77" s="15" t="s">
        <v>236</v>
      </c>
      <c r="AF77" s="14" t="s">
        <v>94</v>
      </c>
      <c r="AG77" s="13">
        <v>0</v>
      </c>
      <c r="AH77" s="13">
        <v>0</v>
      </c>
      <c r="AI77" s="12">
        <v>0</v>
      </c>
      <c r="AJ77" s="12">
        <v>0</v>
      </c>
      <c r="AK77" s="12">
        <v>0</v>
      </c>
      <c r="AL77" s="12">
        <v>0</v>
      </c>
      <c r="AM77" s="12">
        <v>0</v>
      </c>
      <c r="AN77" s="11">
        <v>0</v>
      </c>
      <c r="AO77" s="11">
        <v>0</v>
      </c>
      <c r="AP77" s="11">
        <v>0</v>
      </c>
      <c r="AQ77" s="11">
        <v>0</v>
      </c>
      <c r="AR77" s="11">
        <v>0</v>
      </c>
      <c r="AS77" s="11">
        <v>0</v>
      </c>
      <c r="AT77" s="11">
        <v>0</v>
      </c>
      <c r="AU77" s="11">
        <v>0</v>
      </c>
      <c r="AV77" s="11">
        <v>0</v>
      </c>
      <c r="AW77" s="11">
        <v>0</v>
      </c>
      <c r="AX77" s="11">
        <v>0</v>
      </c>
      <c r="AY77" s="11">
        <v>0</v>
      </c>
      <c r="AZ77" s="11">
        <v>0</v>
      </c>
      <c r="BA77" s="11">
        <v>0</v>
      </c>
      <c r="BB77" s="11">
        <v>0</v>
      </c>
      <c r="BC77" s="11">
        <v>0</v>
      </c>
      <c r="BD77" s="11">
        <v>0</v>
      </c>
      <c r="BE77" s="11">
        <v>0</v>
      </c>
      <c r="BF77" s="11">
        <v>0</v>
      </c>
      <c r="BG77" s="11">
        <v>0</v>
      </c>
      <c r="BH77" s="11">
        <v>0</v>
      </c>
      <c r="BI77" s="11">
        <v>839700</v>
      </c>
      <c r="BJ77" s="11">
        <v>762054</v>
      </c>
      <c r="BK77" s="11">
        <v>77646</v>
      </c>
      <c r="BL77" s="11">
        <v>0</v>
      </c>
      <c r="BM77" s="11">
        <v>0</v>
      </c>
      <c r="BN77" s="11">
        <v>0</v>
      </c>
      <c r="BO77" s="11">
        <v>0</v>
      </c>
      <c r="BP77" s="11">
        <v>0</v>
      </c>
      <c r="BQ77" s="11">
        <v>0</v>
      </c>
      <c r="BR77" s="11">
        <v>0</v>
      </c>
      <c r="BS77" s="11">
        <v>0</v>
      </c>
      <c r="BT77" s="11">
        <v>0</v>
      </c>
      <c r="BU77" s="11">
        <v>0</v>
      </c>
      <c r="BV77" s="11">
        <v>0</v>
      </c>
      <c r="BW77" s="11">
        <v>0</v>
      </c>
      <c r="BX77" s="11">
        <v>0</v>
      </c>
      <c r="BY77" s="11">
        <v>0</v>
      </c>
    </row>
    <row r="78" spans="1:77">
      <c r="A78" s="1"/>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c r="A79" s="1"/>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c r="A80" s="6">
        <v>71</v>
      </c>
      <c r="B80" s="6">
        <v>71</v>
      </c>
      <c r="C80" s="6">
        <v>71</v>
      </c>
      <c r="D80" s="6">
        <v>71</v>
      </c>
      <c r="E80" s="6">
        <v>71</v>
      </c>
      <c r="F80" s="6">
        <v>71</v>
      </c>
      <c r="G80" s="6">
        <v>71</v>
      </c>
      <c r="H80" s="6">
        <v>71</v>
      </c>
      <c r="I80" s="6">
        <v>71</v>
      </c>
      <c r="J80" s="9">
        <v>71</v>
      </c>
      <c r="K80" s="10">
        <v>16.5</v>
      </c>
      <c r="L80" s="6">
        <v>0</v>
      </c>
      <c r="M80" s="6">
        <v>16.5</v>
      </c>
      <c r="N80" s="6">
        <v>11963.881000000001</v>
      </c>
      <c r="O80" s="6">
        <v>11980.381000000001</v>
      </c>
      <c r="P80" s="6">
        <v>3130.98</v>
      </c>
      <c r="Q80" s="6">
        <v>3138.8500000000004</v>
      </c>
      <c r="R80" s="6">
        <v>3583.6</v>
      </c>
      <c r="S80" s="6">
        <v>21633.810999999998</v>
      </c>
      <c r="T80" s="6">
        <v>16.5</v>
      </c>
      <c r="U80" s="6">
        <v>0</v>
      </c>
      <c r="V80" s="6">
        <v>16.5</v>
      </c>
      <c r="W80" s="6">
        <v>10364.960569245812</v>
      </c>
      <c r="X80" s="6">
        <v>10381.460569245812</v>
      </c>
      <c r="Y80" s="6">
        <v>364.73</v>
      </c>
      <c r="Z80" s="6">
        <v>3695.3729999999987</v>
      </c>
      <c r="AA80" s="6">
        <v>627.27105387788561</v>
      </c>
      <c r="AB80" s="6">
        <v>15068.834623123696</v>
      </c>
      <c r="AC80" s="9">
        <v>71</v>
      </c>
      <c r="AD80" s="8">
        <v>14</v>
      </c>
      <c r="AE80" s="8">
        <v>13</v>
      </c>
      <c r="AF80" s="6">
        <v>71</v>
      </c>
      <c r="AG80" s="6">
        <v>992573.39333333331</v>
      </c>
      <c r="AH80" s="6">
        <v>0</v>
      </c>
      <c r="AI80" s="7">
        <v>0</v>
      </c>
      <c r="AJ80" s="6">
        <v>606174</v>
      </c>
      <c r="AK80" s="6">
        <v>606174</v>
      </c>
      <c r="AL80" s="6">
        <v>0</v>
      </c>
      <c r="AM80" s="6">
        <v>12927.67337823068</v>
      </c>
      <c r="AN80" s="6">
        <v>4289.1000000000004</v>
      </c>
      <c r="AO80" s="6">
        <v>6782.5599999999995</v>
      </c>
      <c r="AP80" s="6">
        <v>43719</v>
      </c>
      <c r="AQ80" s="6">
        <v>33613168</v>
      </c>
      <c r="AR80" s="6">
        <v>0</v>
      </c>
      <c r="AS80" s="6">
        <v>33020.230000000003</v>
      </c>
      <c r="AT80" s="6">
        <v>3920.1899999999996</v>
      </c>
      <c r="AU80" s="6">
        <v>23535.260000000002</v>
      </c>
      <c r="AV80" s="6">
        <v>25652.714000000004</v>
      </c>
      <c r="AW80" s="6">
        <v>2393.9859999999999</v>
      </c>
      <c r="AX80" s="6">
        <v>0</v>
      </c>
      <c r="AY80" s="7">
        <v>0</v>
      </c>
      <c r="AZ80" s="7">
        <v>0</v>
      </c>
      <c r="BA80" s="6">
        <v>3768601</v>
      </c>
      <c r="BB80" s="6">
        <v>416739.9</v>
      </c>
      <c r="BC80" s="6">
        <v>3351861.1</v>
      </c>
      <c r="BD80" s="6">
        <v>963516</v>
      </c>
      <c r="BE80" s="6">
        <v>342669.5</v>
      </c>
      <c r="BF80" s="6">
        <v>8535.31</v>
      </c>
      <c r="BG80" s="6">
        <v>250959.7</v>
      </c>
      <c r="BH80" s="6">
        <v>745400</v>
      </c>
      <c r="BI80" s="6">
        <v>2621370</v>
      </c>
      <c r="BJ80" s="6">
        <v>2494592.7999999998</v>
      </c>
      <c r="BK80" s="6">
        <v>126777.20000000001</v>
      </c>
      <c r="BL80" s="6">
        <v>392056</v>
      </c>
      <c r="BM80" s="6">
        <v>0</v>
      </c>
      <c r="BN80" s="6">
        <v>0</v>
      </c>
      <c r="BO80" s="6">
        <v>0</v>
      </c>
      <c r="BP80" s="6">
        <v>0</v>
      </c>
      <c r="BQ80" s="6">
        <v>0</v>
      </c>
      <c r="BR80" s="6">
        <v>0</v>
      </c>
      <c r="BS80" s="6">
        <v>0</v>
      </c>
      <c r="BT80" s="6">
        <v>0</v>
      </c>
      <c r="BU80" s="6">
        <v>0</v>
      </c>
      <c r="BV80" s="6">
        <v>0</v>
      </c>
      <c r="BW80" s="6">
        <v>0</v>
      </c>
      <c r="BX80" s="6">
        <v>0</v>
      </c>
      <c r="BY80" s="6">
        <v>9279000</v>
      </c>
    </row>
    <row r="81" spans="1:77">
      <c r="A81" s="1"/>
      <c r="B81" s="3"/>
      <c r="C81" s="5"/>
      <c r="D81" s="1"/>
      <c r="E81" s="1"/>
      <c r="F81" s="1"/>
      <c r="G81" s="4"/>
      <c r="H81" s="4"/>
      <c r="I81" s="4"/>
      <c r="J81" s="4"/>
      <c r="K81" s="2"/>
      <c r="L81" s="1"/>
      <c r="M81" s="1"/>
      <c r="N81" s="1"/>
      <c r="O81" s="1"/>
      <c r="P81" s="1"/>
      <c r="Q81" s="1"/>
      <c r="R81" s="1"/>
      <c r="S81" s="1"/>
      <c r="T81" s="1"/>
      <c r="U81" s="1"/>
      <c r="V81" s="1"/>
      <c r="W81" s="1"/>
      <c r="X81" s="1"/>
      <c r="Y81" s="1"/>
      <c r="Z81" s="1"/>
      <c r="AA81" s="1"/>
      <c r="AB81" s="1"/>
      <c r="AC81" s="4"/>
      <c r="AD81" s="3"/>
      <c r="AE81" s="3"/>
      <c r="AF81" s="2"/>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row>
    <row r="82" spans="1:77">
      <c r="A82" s="1" t="s">
        <v>262</v>
      </c>
      <c r="B82" s="3"/>
      <c r="C82" s="5"/>
      <c r="D82" s="1"/>
      <c r="E82" s="1"/>
      <c r="F82" s="1"/>
      <c r="G82" s="4"/>
      <c r="H82" s="4"/>
      <c r="I82" s="4"/>
      <c r="J82" s="4"/>
      <c r="K82" s="2"/>
      <c r="L82" s="1"/>
      <c r="M82" s="1"/>
      <c r="N82" s="1"/>
      <c r="O82" s="1"/>
      <c r="P82" s="1"/>
      <c r="Q82" s="1"/>
      <c r="R82" s="1"/>
      <c r="S82" s="1"/>
      <c r="T82" s="1"/>
      <c r="U82" s="1"/>
      <c r="V82" s="1"/>
      <c r="W82" s="1"/>
      <c r="X82" s="1"/>
      <c r="Y82" s="1"/>
      <c r="Z82" s="1"/>
      <c r="AA82" s="1"/>
      <c r="AB82" s="1"/>
      <c r="AC82" s="4"/>
      <c r="AD82" s="3"/>
      <c r="AE82" s="3"/>
      <c r="AF82" s="2"/>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row>
    <row r="83" spans="1:77">
      <c r="A83" s="1" t="s">
        <v>263</v>
      </c>
      <c r="B83" s="3"/>
      <c r="C83" s="5"/>
      <c r="D83" s="1"/>
      <c r="E83" s="1"/>
      <c r="F83" s="1"/>
      <c r="G83" s="4"/>
      <c r="H83" s="4"/>
      <c r="I83" s="4"/>
      <c r="J83" s="4"/>
      <c r="K83" s="2"/>
      <c r="L83" s="1"/>
      <c r="M83" s="1"/>
      <c r="N83" s="1"/>
      <c r="O83" s="1"/>
      <c r="P83" s="1"/>
      <c r="Q83" s="1"/>
      <c r="R83" s="1"/>
      <c r="S83" s="1"/>
      <c r="T83" s="1"/>
      <c r="U83" s="1"/>
      <c r="V83" s="1"/>
      <c r="W83" s="1"/>
      <c r="X83" s="1"/>
      <c r="Y83" s="1"/>
      <c r="Z83" s="1"/>
      <c r="AA83" s="1"/>
      <c r="AB83" s="1"/>
      <c r="AC83" s="4"/>
      <c r="AD83" s="3"/>
      <c r="AE83" s="3"/>
      <c r="AF83" s="2"/>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row>
    <row r="84" spans="1:77">
      <c r="A84" s="1" t="s">
        <v>264</v>
      </c>
      <c r="B84" s="3"/>
      <c r="C84" s="5"/>
      <c r="D84" s="1"/>
      <c r="E84" s="1"/>
      <c r="F84" s="1"/>
      <c r="G84" s="4"/>
      <c r="H84" s="4"/>
      <c r="I84" s="4"/>
      <c r="J84" s="4"/>
      <c r="K84" s="2"/>
      <c r="L84" s="1"/>
      <c r="M84" s="1"/>
      <c r="N84" s="1"/>
      <c r="O84" s="1"/>
      <c r="P84" s="1"/>
      <c r="Q84" s="1"/>
      <c r="R84" s="1"/>
      <c r="S84" s="1"/>
      <c r="T84" s="1"/>
      <c r="U84" s="1"/>
      <c r="V84" s="1"/>
      <c r="W84" s="1"/>
      <c r="X84" s="1"/>
      <c r="Y84" s="1"/>
      <c r="Z84" s="1"/>
      <c r="AA84" s="1"/>
      <c r="AB84" s="1"/>
      <c r="AC84" s="4"/>
      <c r="AD84" s="3"/>
      <c r="AE84" s="3"/>
      <c r="AF84" s="2"/>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row>
    <row r="85" spans="1:77">
      <c r="A85" s="1" t="s">
        <v>265</v>
      </c>
    </row>
    <row r="86" spans="1:77">
      <c r="A86" s="1" t="s">
        <v>266</v>
      </c>
    </row>
    <row r="87" spans="1:77">
      <c r="A87" s="1"/>
    </row>
    <row r="88" spans="1:77">
      <c r="A88" s="1" t="s">
        <v>267</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744D-ADE4-B048-9CA6-A2E997BD7BE4}">
  <dimension ref="A1:D76"/>
  <sheetViews>
    <sheetView topLeftCell="A12" zoomScale="135" workbookViewId="0">
      <selection activeCell="G74" sqref="G74"/>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268</v>
      </c>
      <c r="B2" s="94"/>
      <c r="C2" s="95"/>
      <c r="D2" s="96"/>
    </row>
    <row r="3" spans="1:4">
      <c r="A3" s="103" t="s">
        <v>269</v>
      </c>
      <c r="B3" s="94"/>
      <c r="C3" s="95"/>
      <c r="D3" s="96"/>
    </row>
    <row r="4" spans="1:4">
      <c r="A4" s="104" t="s">
        <v>270</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276</v>
      </c>
      <c r="B8" s="108"/>
      <c r="C8" s="109"/>
      <c r="D8" s="110"/>
    </row>
    <row r="9" spans="1:4" ht="16" customHeight="1">
      <c r="A9" s="111">
        <v>4.2</v>
      </c>
      <c r="B9" s="111" t="s">
        <v>277</v>
      </c>
      <c r="C9" s="112" t="s">
        <v>278</v>
      </c>
      <c r="D9" s="136">
        <v>1</v>
      </c>
    </row>
    <row r="10" spans="1:4" ht="16" customHeight="1">
      <c r="A10" s="111" t="s">
        <v>279</v>
      </c>
      <c r="B10" s="111" t="s">
        <v>280</v>
      </c>
      <c r="C10" s="112" t="s">
        <v>281</v>
      </c>
      <c r="D10" s="136">
        <v>1</v>
      </c>
    </row>
    <row r="11" spans="1:4" ht="16" customHeight="1">
      <c r="A11" s="111" t="s">
        <v>282</v>
      </c>
      <c r="B11" s="111" t="s">
        <v>280</v>
      </c>
      <c r="C11" s="112" t="s">
        <v>283</v>
      </c>
      <c r="D11" s="136">
        <v>1</v>
      </c>
    </row>
    <row r="12" spans="1:4" ht="16" customHeight="1">
      <c r="A12" s="111" t="s">
        <v>284</v>
      </c>
      <c r="B12" s="111" t="s">
        <v>280</v>
      </c>
      <c r="C12" s="112" t="s">
        <v>285</v>
      </c>
      <c r="D12" s="136">
        <v>1</v>
      </c>
    </row>
    <row r="13" spans="1:4" ht="16" customHeight="1">
      <c r="A13" s="111" t="s">
        <v>286</v>
      </c>
      <c r="B13" s="111" t="s">
        <v>280</v>
      </c>
      <c r="C13" s="112" t="s">
        <v>287</v>
      </c>
      <c r="D13" s="136">
        <v>1</v>
      </c>
    </row>
    <row r="14" spans="1:4" ht="16" customHeight="1">
      <c r="A14" s="111" t="s">
        <v>288</v>
      </c>
      <c r="B14" s="111" t="s">
        <v>280</v>
      </c>
      <c r="C14" s="112" t="s">
        <v>289</v>
      </c>
      <c r="D14" s="136">
        <v>2</v>
      </c>
    </row>
    <row r="15" spans="1:4" s="101" customFormat="1" ht="16" customHeight="1">
      <c r="A15" s="108" t="s">
        <v>290</v>
      </c>
      <c r="B15" s="108"/>
      <c r="C15" s="109"/>
      <c r="D15" s="137"/>
    </row>
    <row r="16" spans="1:4" ht="16" customHeight="1">
      <c r="A16" s="111">
        <v>1.3</v>
      </c>
      <c r="B16" s="111" t="s">
        <v>277</v>
      </c>
      <c r="C16" s="112" t="s">
        <v>291</v>
      </c>
      <c r="D16" s="136">
        <v>77140.597122302177</v>
      </c>
    </row>
    <row r="17" spans="1:4" ht="16" customHeight="1">
      <c r="A17" s="111">
        <v>3.3</v>
      </c>
      <c r="B17" s="111" t="s">
        <v>277</v>
      </c>
      <c r="C17" s="112" t="s">
        <v>292</v>
      </c>
      <c r="D17" s="136">
        <v>820000</v>
      </c>
    </row>
    <row r="18" spans="1:4" ht="16" customHeight="1">
      <c r="A18" s="111">
        <v>4.0999999999999996</v>
      </c>
      <c r="B18" s="111" t="s">
        <v>277</v>
      </c>
      <c r="C18" s="112" t="s">
        <v>293</v>
      </c>
      <c r="D18" s="136">
        <v>619729</v>
      </c>
    </row>
    <row r="19" spans="1:4" ht="16" customHeight="1">
      <c r="A19" s="111">
        <v>4.3</v>
      </c>
      <c r="B19" s="111" t="s">
        <v>277</v>
      </c>
      <c r="C19" s="112" t="s">
        <v>294</v>
      </c>
      <c r="D19" s="136">
        <v>14</v>
      </c>
    </row>
    <row r="20" spans="1:4" ht="16" customHeight="1">
      <c r="A20" s="111" t="s">
        <v>295</v>
      </c>
      <c r="B20" s="111" t="s">
        <v>280</v>
      </c>
      <c r="C20" s="112" t="s">
        <v>296</v>
      </c>
      <c r="D20" s="136">
        <v>4</v>
      </c>
    </row>
    <row r="21" spans="1:4" ht="16" customHeight="1">
      <c r="A21" s="111" t="s">
        <v>297</v>
      </c>
      <c r="B21" s="111" t="s">
        <v>280</v>
      </c>
      <c r="C21" s="112" t="s">
        <v>298</v>
      </c>
      <c r="D21" s="136">
        <v>1</v>
      </c>
    </row>
    <row r="22" spans="1:4" ht="16" customHeight="1">
      <c r="A22" s="111" t="s">
        <v>299</v>
      </c>
      <c r="B22" s="111" t="s">
        <v>280</v>
      </c>
      <c r="C22" s="112" t="s">
        <v>300</v>
      </c>
      <c r="D22" s="136">
        <v>2</v>
      </c>
    </row>
    <row r="23" spans="1:4" s="101" customFormat="1" ht="16" customHeight="1">
      <c r="A23" s="108" t="s">
        <v>301</v>
      </c>
      <c r="B23" s="108"/>
      <c r="C23" s="109"/>
      <c r="D23" s="137"/>
    </row>
    <row r="24" spans="1:4" ht="16" customHeight="1">
      <c r="A24" s="111">
        <v>1.3</v>
      </c>
      <c r="B24" s="111" t="s">
        <v>277</v>
      </c>
      <c r="C24" s="112" t="s">
        <v>291</v>
      </c>
      <c r="D24" s="136">
        <v>34623.4</v>
      </c>
    </row>
    <row r="25" spans="1:4" ht="16" customHeight="1">
      <c r="A25" s="111">
        <v>2.4</v>
      </c>
      <c r="B25" s="111" t="s">
        <v>277</v>
      </c>
      <c r="C25" s="112" t="s">
        <v>302</v>
      </c>
      <c r="D25" s="136">
        <v>144025.641025641</v>
      </c>
    </row>
    <row r="26" spans="1:4" ht="16" customHeight="1">
      <c r="A26" s="111">
        <v>4.0999999999999996</v>
      </c>
      <c r="B26" s="111" t="s">
        <v>277</v>
      </c>
      <c r="C26" s="112" t="s">
        <v>293</v>
      </c>
      <c r="D26" s="136">
        <v>275233</v>
      </c>
    </row>
    <row r="27" spans="1:4" ht="16" customHeight="1">
      <c r="A27" s="111">
        <v>4.2</v>
      </c>
      <c r="B27" s="111" t="s">
        <v>277</v>
      </c>
      <c r="C27" s="112" t="s">
        <v>278</v>
      </c>
      <c r="D27" s="136">
        <v>15</v>
      </c>
    </row>
    <row r="28" spans="1:4" ht="16" customHeight="1">
      <c r="A28" s="111">
        <v>4.3</v>
      </c>
      <c r="B28" s="111" t="s">
        <v>277</v>
      </c>
      <c r="C28" s="112" t="s">
        <v>294</v>
      </c>
      <c r="D28" s="136">
        <v>13</v>
      </c>
    </row>
    <row r="29" spans="1:4" ht="16" customHeight="1">
      <c r="A29" s="111">
        <v>6.2</v>
      </c>
      <c r="B29" s="111" t="s">
        <v>277</v>
      </c>
      <c r="C29" s="112" t="s">
        <v>303</v>
      </c>
      <c r="D29" s="136">
        <v>12</v>
      </c>
    </row>
    <row r="30" spans="1:4" ht="16" customHeight="1">
      <c r="A30" s="111" t="s">
        <v>304</v>
      </c>
      <c r="B30" s="111" t="s">
        <v>280</v>
      </c>
      <c r="C30" s="112" t="s">
        <v>305</v>
      </c>
      <c r="D30" s="136">
        <v>11.200000000000001</v>
      </c>
    </row>
    <row r="31" spans="1:4" ht="16" customHeight="1">
      <c r="A31" s="111" t="s">
        <v>306</v>
      </c>
      <c r="B31" s="111" t="s">
        <v>280</v>
      </c>
      <c r="C31" s="112" t="s">
        <v>307</v>
      </c>
      <c r="D31" s="136">
        <v>144025.641025641</v>
      </c>
    </row>
    <row r="32" spans="1:4" ht="16" customHeight="1">
      <c r="A32" s="111" t="s">
        <v>308</v>
      </c>
      <c r="B32" s="111" t="s">
        <v>280</v>
      </c>
      <c r="C32" s="112" t="s">
        <v>309</v>
      </c>
      <c r="D32" s="136">
        <v>2</v>
      </c>
    </row>
    <row r="33" spans="1:4" ht="16" customHeight="1">
      <c r="A33" s="111" t="s">
        <v>295</v>
      </c>
      <c r="B33" s="111" t="s">
        <v>280</v>
      </c>
      <c r="C33" s="112" t="s">
        <v>296</v>
      </c>
      <c r="D33" s="136">
        <v>11.200000000000001</v>
      </c>
    </row>
    <row r="34" spans="1:4" ht="16" customHeight="1">
      <c r="A34" s="111" t="s">
        <v>299</v>
      </c>
      <c r="B34" s="111" t="s">
        <v>280</v>
      </c>
      <c r="C34" s="112" t="s">
        <v>300</v>
      </c>
      <c r="D34" s="136">
        <v>2</v>
      </c>
    </row>
    <row r="35" spans="1:4" ht="16" customHeight="1">
      <c r="A35" s="111" t="s">
        <v>310</v>
      </c>
      <c r="B35" s="111" t="s">
        <v>280</v>
      </c>
      <c r="C35" s="112" t="s">
        <v>311</v>
      </c>
      <c r="D35" s="136">
        <v>1419</v>
      </c>
    </row>
    <row r="36" spans="1:4" s="101" customFormat="1" ht="16" customHeight="1">
      <c r="A36" s="108" t="s">
        <v>312</v>
      </c>
      <c r="B36" s="108"/>
      <c r="C36" s="109"/>
      <c r="D36" s="137"/>
    </row>
    <row r="37" spans="1:4" ht="16" customHeight="1">
      <c r="A37" s="111">
        <v>6.2</v>
      </c>
      <c r="B37" s="111" t="s">
        <v>277</v>
      </c>
      <c r="C37" s="112" t="s">
        <v>303</v>
      </c>
      <c r="D37" s="136">
        <v>1</v>
      </c>
    </row>
    <row r="38" spans="1:4" ht="16" customHeight="1">
      <c r="A38" s="111" t="s">
        <v>313</v>
      </c>
      <c r="B38" s="111" t="s">
        <v>280</v>
      </c>
      <c r="C38" s="112" t="s">
        <v>314</v>
      </c>
      <c r="D38" s="136">
        <v>54964</v>
      </c>
    </row>
    <row r="39" spans="1:4" ht="16" customHeight="1">
      <c r="A39" s="111" t="s">
        <v>315</v>
      </c>
      <c r="B39" s="111" t="s">
        <v>280</v>
      </c>
      <c r="C39" s="112" t="s">
        <v>316</v>
      </c>
      <c r="D39" s="136">
        <v>1</v>
      </c>
    </row>
    <row r="40" spans="1:4" s="101" customFormat="1" ht="16" customHeight="1">
      <c r="A40" s="108" t="s">
        <v>317</v>
      </c>
      <c r="B40" s="108"/>
      <c r="C40" s="109"/>
      <c r="D40" s="137"/>
    </row>
    <row r="41" spans="1:4" ht="16" customHeight="1">
      <c r="A41" s="111">
        <v>1.2</v>
      </c>
      <c r="B41" s="111" t="s">
        <v>277</v>
      </c>
      <c r="C41" s="112" t="s">
        <v>318</v>
      </c>
      <c r="D41" s="136">
        <v>3200</v>
      </c>
    </row>
    <row r="42" spans="1:4" ht="16" customHeight="1">
      <c r="A42" s="111">
        <v>3.1</v>
      </c>
      <c r="B42" s="111" t="s">
        <v>277</v>
      </c>
      <c r="C42" s="112" t="s">
        <v>319</v>
      </c>
      <c r="D42" s="136">
        <v>1500000</v>
      </c>
    </row>
    <row r="43" spans="1:4" ht="16" customHeight="1">
      <c r="A43" s="111" t="s">
        <v>320</v>
      </c>
      <c r="B43" s="111" t="s">
        <v>280</v>
      </c>
      <c r="C43" s="112" t="s">
        <v>321</v>
      </c>
      <c r="D43" s="136">
        <v>1052.4000000000001</v>
      </c>
    </row>
    <row r="44" spans="1:4" ht="16" customHeight="1">
      <c r="A44" s="111" t="s">
        <v>322</v>
      </c>
      <c r="B44" s="111" t="s">
        <v>280</v>
      </c>
      <c r="C44" s="112" t="s">
        <v>323</v>
      </c>
      <c r="D44" s="136">
        <v>53</v>
      </c>
    </row>
    <row r="45" spans="1:4" ht="16" customHeight="1">
      <c r="A45" s="111" t="s">
        <v>306</v>
      </c>
      <c r="B45" s="111" t="s">
        <v>280</v>
      </c>
      <c r="C45" s="112" t="s">
        <v>307</v>
      </c>
      <c r="D45" s="136">
        <v>107.25</v>
      </c>
    </row>
    <row r="46" spans="1:4" ht="16" customHeight="1">
      <c r="A46" s="111" t="s">
        <v>324</v>
      </c>
      <c r="B46" s="111" t="s">
        <v>280</v>
      </c>
      <c r="C46" s="112" t="s">
        <v>325</v>
      </c>
      <c r="D46" s="136">
        <v>136</v>
      </c>
    </row>
    <row r="47" spans="1:4" ht="16" customHeight="1">
      <c r="A47" s="111" t="s">
        <v>326</v>
      </c>
      <c r="B47" s="111" t="s">
        <v>280</v>
      </c>
      <c r="C47" s="112" t="s">
        <v>327</v>
      </c>
      <c r="D47" s="136">
        <v>1</v>
      </c>
    </row>
    <row r="48" spans="1:4" ht="16" customHeight="1">
      <c r="A48" s="111" t="s">
        <v>313</v>
      </c>
      <c r="B48" s="111" t="s">
        <v>280</v>
      </c>
      <c r="C48" s="112" t="s">
        <v>314</v>
      </c>
      <c r="D48" s="136">
        <v>600</v>
      </c>
    </row>
    <row r="49" spans="1:4" ht="16" customHeight="1">
      <c r="A49" s="111" t="s">
        <v>328</v>
      </c>
      <c r="B49" s="111" t="s">
        <v>280</v>
      </c>
      <c r="C49" s="112" t="s">
        <v>329</v>
      </c>
      <c r="D49" s="136">
        <v>1</v>
      </c>
    </row>
    <row r="50" spans="1:4" ht="16" customHeight="1">
      <c r="A50" s="111" t="s">
        <v>330</v>
      </c>
      <c r="B50" s="111" t="s">
        <v>280</v>
      </c>
      <c r="C50" s="112" t="s">
        <v>331</v>
      </c>
      <c r="D50" s="136">
        <v>1</v>
      </c>
    </row>
    <row r="51" spans="1:4" ht="16" customHeight="1">
      <c r="A51" s="111" t="s">
        <v>315</v>
      </c>
      <c r="B51" s="111" t="s">
        <v>280</v>
      </c>
      <c r="C51" s="112" t="s">
        <v>316</v>
      </c>
      <c r="D51" s="136">
        <v>1</v>
      </c>
    </row>
    <row r="52" spans="1:4" s="100" customFormat="1" ht="15" customHeight="1">
      <c r="A52" s="105" t="s">
        <v>332</v>
      </c>
      <c r="B52" s="105"/>
      <c r="C52" s="106"/>
      <c r="D52" s="138"/>
    </row>
    <row r="53" spans="1:4" s="101" customFormat="1" ht="15" customHeight="1">
      <c r="A53" s="108" t="s">
        <v>333</v>
      </c>
      <c r="B53" s="108"/>
      <c r="C53" s="109"/>
      <c r="D53" s="137"/>
    </row>
    <row r="54" spans="1:4" ht="15" customHeight="1">
      <c r="A54" s="111">
        <v>1.3</v>
      </c>
      <c r="B54" s="111" t="s">
        <v>277</v>
      </c>
      <c r="C54" s="112" t="s">
        <v>291</v>
      </c>
      <c r="D54" s="136">
        <v>50942</v>
      </c>
    </row>
    <row r="55" spans="1:4" ht="15" customHeight="1">
      <c r="A55" s="111">
        <v>6.1</v>
      </c>
      <c r="B55" s="111" t="s">
        <v>277</v>
      </c>
      <c r="C55" s="112" t="s">
        <v>334</v>
      </c>
      <c r="D55" s="136">
        <v>1</v>
      </c>
    </row>
    <row r="56" spans="1:4" ht="15" customHeight="1">
      <c r="A56" s="111" t="s">
        <v>335</v>
      </c>
      <c r="B56" s="111" t="s">
        <v>280</v>
      </c>
      <c r="C56" s="112" t="s">
        <v>336</v>
      </c>
      <c r="D56" s="136">
        <v>1</v>
      </c>
    </row>
    <row r="57" spans="1:4" ht="15" customHeight="1">
      <c r="A57" s="111" t="s">
        <v>337</v>
      </c>
      <c r="B57" s="111" t="s">
        <v>280</v>
      </c>
      <c r="C57" s="112" t="s">
        <v>338</v>
      </c>
      <c r="D57" s="136">
        <v>1</v>
      </c>
    </row>
    <row r="58" spans="1:4" ht="15" customHeight="1">
      <c r="A58" s="111" t="s">
        <v>339</v>
      </c>
      <c r="B58" s="111" t="s">
        <v>280</v>
      </c>
      <c r="C58" s="112" t="s">
        <v>340</v>
      </c>
      <c r="D58" s="136">
        <v>12587.768199999999</v>
      </c>
    </row>
    <row r="59" spans="1:4" ht="15" customHeight="1">
      <c r="A59" s="111" t="s">
        <v>288</v>
      </c>
      <c r="B59" s="111" t="s">
        <v>280</v>
      </c>
      <c r="C59" s="112" t="s">
        <v>289</v>
      </c>
      <c r="D59" s="136">
        <v>3</v>
      </c>
    </row>
    <row r="60" spans="1:4" s="101" customFormat="1" ht="15" customHeight="1">
      <c r="A60" s="108" t="s">
        <v>341</v>
      </c>
      <c r="B60" s="108"/>
      <c r="C60" s="109"/>
      <c r="D60" s="137"/>
    </row>
    <row r="61" spans="1:4" ht="15" customHeight="1">
      <c r="A61" s="111">
        <v>2.2000000000000002</v>
      </c>
      <c r="B61" s="111" t="s">
        <v>277</v>
      </c>
      <c r="C61" s="112" t="s">
        <v>342</v>
      </c>
      <c r="D61" s="136">
        <v>169844</v>
      </c>
    </row>
    <row r="62" spans="1:4" ht="15" customHeight="1">
      <c r="A62" s="111">
        <v>5.0999999999999996</v>
      </c>
      <c r="B62" s="111" t="s">
        <v>277</v>
      </c>
      <c r="C62" s="112" t="s">
        <v>343</v>
      </c>
      <c r="D62" s="136">
        <v>681550</v>
      </c>
    </row>
    <row r="63" spans="1:4" ht="15" customHeight="1">
      <c r="A63" s="111" t="s">
        <v>322</v>
      </c>
      <c r="B63" s="111" t="s">
        <v>280</v>
      </c>
      <c r="C63" s="112" t="s">
        <v>323</v>
      </c>
      <c r="D63" s="136">
        <v>175</v>
      </c>
    </row>
    <row r="64" spans="1:4" ht="15" customHeight="1">
      <c r="A64" s="111" t="s">
        <v>339</v>
      </c>
      <c r="B64" s="111" t="s">
        <v>280</v>
      </c>
      <c r="C64" s="112" t="s">
        <v>340</v>
      </c>
      <c r="D64" s="136">
        <v>1756836</v>
      </c>
    </row>
    <row r="65" spans="1:4" ht="15" customHeight="1">
      <c r="A65" s="111" t="s">
        <v>344</v>
      </c>
      <c r="B65" s="111" t="s">
        <v>280</v>
      </c>
      <c r="C65" s="112" t="s">
        <v>345</v>
      </c>
      <c r="D65" s="136">
        <v>382372</v>
      </c>
    </row>
    <row r="66" spans="1:4" ht="15" customHeight="1">
      <c r="A66" s="111" t="s">
        <v>346</v>
      </c>
      <c r="B66" s="111" t="s">
        <v>280</v>
      </c>
      <c r="C66" s="112" t="s">
        <v>347</v>
      </c>
      <c r="D66" s="136">
        <v>1</v>
      </c>
    </row>
    <row r="67" spans="1:4" s="101" customFormat="1" ht="15" customHeight="1">
      <c r="A67" s="108" t="s">
        <v>348</v>
      </c>
      <c r="B67" s="108"/>
      <c r="C67" s="109"/>
      <c r="D67" s="137"/>
    </row>
    <row r="68" spans="1:4" ht="15" customHeight="1">
      <c r="A68" s="111">
        <v>1.2</v>
      </c>
      <c r="B68" s="111" t="s">
        <v>277</v>
      </c>
      <c r="C68" s="112" t="s">
        <v>318</v>
      </c>
      <c r="D68" s="136">
        <v>300</v>
      </c>
    </row>
    <row r="69" spans="1:4" ht="15" customHeight="1">
      <c r="A69" s="111">
        <v>3.1</v>
      </c>
      <c r="B69" s="111" t="s">
        <v>277</v>
      </c>
      <c r="C69" s="112" t="s">
        <v>319</v>
      </c>
      <c r="D69" s="136">
        <v>577059</v>
      </c>
    </row>
    <row r="70" spans="1:4" ht="15" customHeight="1">
      <c r="A70" s="111" t="s">
        <v>313</v>
      </c>
      <c r="B70" s="111" t="s">
        <v>280</v>
      </c>
      <c r="C70" s="112" t="s">
        <v>314</v>
      </c>
      <c r="D70" s="136">
        <v>501</v>
      </c>
    </row>
    <row r="71" spans="1:4" s="100" customFormat="1" ht="15" customHeight="1">
      <c r="A71" s="105" t="s">
        <v>349</v>
      </c>
      <c r="B71" s="105"/>
      <c r="C71" s="114"/>
      <c r="D71" s="139"/>
    </row>
    <row r="72" spans="1:4" ht="15" customHeight="1">
      <c r="A72" s="115" t="s">
        <v>350</v>
      </c>
      <c r="B72" s="111"/>
      <c r="C72" s="116"/>
      <c r="D72" s="140"/>
    </row>
    <row r="73" spans="1:4" ht="15" customHeight="1">
      <c r="A73" s="118" t="s">
        <v>310</v>
      </c>
      <c r="B73" s="111" t="s">
        <v>280</v>
      </c>
      <c r="C73" s="116" t="s">
        <v>311</v>
      </c>
      <c r="D73" s="140">
        <v>8167</v>
      </c>
    </row>
    <row r="74" spans="1:4" s="101" customFormat="1" ht="15" customHeight="1">
      <c r="A74" s="115" t="s">
        <v>351</v>
      </c>
      <c r="B74" s="108"/>
      <c r="C74" s="119"/>
      <c r="D74" s="141"/>
    </row>
    <row r="75" spans="1:4" ht="15" customHeight="1">
      <c r="A75" s="111">
        <v>6.1</v>
      </c>
      <c r="B75" s="111" t="s">
        <v>277</v>
      </c>
      <c r="C75" s="116" t="s">
        <v>334</v>
      </c>
      <c r="D75" s="140">
        <v>10</v>
      </c>
    </row>
    <row r="76" spans="1:4" ht="15" customHeight="1">
      <c r="A76" s="120" t="s">
        <v>310</v>
      </c>
      <c r="B76" s="120" t="s">
        <v>280</v>
      </c>
      <c r="C76" s="116" t="s">
        <v>311</v>
      </c>
      <c r="D76" s="140">
        <v>115</v>
      </c>
    </row>
  </sheetData>
  <hyperlinks>
    <hyperlink ref="A4" r:id="rId1" xr:uid="{FF69E11E-F14E-3042-ABF1-42097FC054CA}"/>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B4B2-B85F-FB4B-B022-276852D9BD7B}">
  <dimension ref="A1:D78"/>
  <sheetViews>
    <sheetView topLeftCell="A64" zoomScale="135" workbookViewId="0">
      <selection activeCell="D77" sqref="D77"/>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352</v>
      </c>
      <c r="B2" s="94"/>
      <c r="C2" s="95"/>
      <c r="D2" s="96"/>
    </row>
    <row r="3" spans="1:4">
      <c r="A3" s="103" t="s">
        <v>269</v>
      </c>
      <c r="B3" s="94"/>
      <c r="C3" s="95"/>
      <c r="D3" s="96"/>
    </row>
    <row r="4" spans="1:4">
      <c r="A4" s="150" t="s">
        <v>353</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354</v>
      </c>
      <c r="B8" s="108"/>
      <c r="C8" s="109"/>
      <c r="D8" s="110"/>
    </row>
    <row r="9" spans="1:4" s="152" customFormat="1" ht="16" customHeight="1">
      <c r="A9" s="111">
        <v>3.1</v>
      </c>
      <c r="B9" s="111" t="s">
        <v>277</v>
      </c>
      <c r="C9" s="112" t="s">
        <v>319</v>
      </c>
      <c r="D9" s="136">
        <v>36092</v>
      </c>
    </row>
    <row r="10" spans="1:4" s="152" customFormat="1" ht="16" customHeight="1">
      <c r="A10" s="111">
        <v>6.1</v>
      </c>
      <c r="B10" s="111" t="s">
        <v>277</v>
      </c>
      <c r="C10" s="112" t="s">
        <v>334</v>
      </c>
      <c r="D10" s="136">
        <v>3</v>
      </c>
    </row>
    <row r="11" spans="1:4" s="152" customFormat="1" ht="16" customHeight="1">
      <c r="A11" s="111" t="s">
        <v>304</v>
      </c>
      <c r="B11" s="111" t="s">
        <v>280</v>
      </c>
      <c r="C11" s="112" t="s">
        <v>305</v>
      </c>
      <c r="D11" s="136">
        <v>8</v>
      </c>
    </row>
    <row r="12" spans="1:4" s="152" customFormat="1" ht="16" customHeight="1">
      <c r="A12" s="111" t="s">
        <v>295</v>
      </c>
      <c r="B12" s="111" t="s">
        <v>280</v>
      </c>
      <c r="C12" s="112" t="s">
        <v>296</v>
      </c>
      <c r="D12" s="136">
        <v>8</v>
      </c>
    </row>
    <row r="13" spans="1:4" s="152" customFormat="1" ht="16" customHeight="1">
      <c r="A13" s="111" t="s">
        <v>315</v>
      </c>
      <c r="B13" s="111" t="s">
        <v>280</v>
      </c>
      <c r="C13" s="112" t="s">
        <v>316</v>
      </c>
      <c r="D13" s="136">
        <v>8</v>
      </c>
    </row>
    <row r="14" spans="1:4" s="101" customFormat="1" ht="16" customHeight="1">
      <c r="A14" s="108" t="s">
        <v>355</v>
      </c>
      <c r="B14" s="108"/>
      <c r="C14" s="109"/>
      <c r="D14" s="137"/>
    </row>
    <row r="15" spans="1:4" s="152" customFormat="1" ht="16" customHeight="1">
      <c r="A15" s="111">
        <v>3.1</v>
      </c>
      <c r="B15" s="111" t="s">
        <v>277</v>
      </c>
      <c r="C15" s="112" t="s">
        <v>319</v>
      </c>
      <c r="D15" s="136">
        <v>31449</v>
      </c>
    </row>
    <row r="16" spans="1:4" s="152" customFormat="1" ht="16" customHeight="1">
      <c r="A16" s="111" t="s">
        <v>304</v>
      </c>
      <c r="B16" s="111" t="s">
        <v>280</v>
      </c>
      <c r="C16" s="112" t="s">
        <v>305</v>
      </c>
      <c r="D16" s="136">
        <v>29</v>
      </c>
    </row>
    <row r="17" spans="1:4" s="152" customFormat="1" ht="16" customHeight="1">
      <c r="A17" s="111" t="s">
        <v>295</v>
      </c>
      <c r="B17" s="111" t="s">
        <v>280</v>
      </c>
      <c r="C17" s="112" t="s">
        <v>296</v>
      </c>
      <c r="D17" s="136">
        <v>29</v>
      </c>
    </row>
    <row r="18" spans="1:4" s="152" customFormat="1" ht="16" customHeight="1">
      <c r="A18" s="111" t="s">
        <v>315</v>
      </c>
      <c r="B18" s="111" t="s">
        <v>280</v>
      </c>
      <c r="C18" s="112" t="s">
        <v>316</v>
      </c>
      <c r="D18" s="136">
        <v>29</v>
      </c>
    </row>
    <row r="19" spans="1:4" s="101" customFormat="1" ht="16" customHeight="1">
      <c r="A19" s="108" t="s">
        <v>356</v>
      </c>
      <c r="B19" s="108"/>
      <c r="C19" s="109"/>
      <c r="D19" s="137"/>
    </row>
    <row r="20" spans="1:4" s="152" customFormat="1" ht="16" customHeight="1">
      <c r="A20" s="111">
        <v>1.3</v>
      </c>
      <c r="B20" s="111" t="s">
        <v>277</v>
      </c>
      <c r="C20" s="112" t="s">
        <v>291</v>
      </c>
      <c r="D20" s="136">
        <v>7699512.2815999994</v>
      </c>
    </row>
    <row r="21" spans="1:4" s="152" customFormat="1" ht="16" customHeight="1">
      <c r="A21" s="111">
        <v>3.1</v>
      </c>
      <c r="B21" s="111" t="s">
        <v>277</v>
      </c>
      <c r="C21" s="112" t="s">
        <v>319</v>
      </c>
      <c r="D21" s="136">
        <v>72891</v>
      </c>
    </row>
    <row r="22" spans="1:4" s="152" customFormat="1" ht="16" customHeight="1">
      <c r="A22" s="111">
        <v>4.0999999999999996</v>
      </c>
      <c r="B22" s="111" t="s">
        <v>277</v>
      </c>
      <c r="C22" s="112" t="s">
        <v>293</v>
      </c>
      <c r="D22" s="136">
        <v>8345563.2250000006</v>
      </c>
    </row>
    <row r="23" spans="1:4" s="152" customFormat="1" ht="16" customHeight="1">
      <c r="A23" s="111">
        <v>5.0999999999999996</v>
      </c>
      <c r="B23" s="111" t="s">
        <v>277</v>
      </c>
      <c r="C23" s="112" t="s">
        <v>343</v>
      </c>
      <c r="D23" s="136">
        <v>15022013.805000002</v>
      </c>
    </row>
    <row r="24" spans="1:4" s="152" customFormat="1" ht="16" customHeight="1">
      <c r="A24" s="111" t="s">
        <v>304</v>
      </c>
      <c r="B24" s="111" t="s">
        <v>280</v>
      </c>
      <c r="C24" s="112" t="s">
        <v>305</v>
      </c>
      <c r="D24" s="136">
        <v>9</v>
      </c>
    </row>
    <row r="25" spans="1:4" s="152" customFormat="1" ht="16" customHeight="1">
      <c r="A25" s="111" t="s">
        <v>306</v>
      </c>
      <c r="B25" s="111" t="s">
        <v>280</v>
      </c>
      <c r="C25" s="112" t="s">
        <v>307</v>
      </c>
      <c r="D25" s="136">
        <v>16357303.921</v>
      </c>
    </row>
    <row r="26" spans="1:4" s="152" customFormat="1" ht="16" customHeight="1">
      <c r="A26" s="111" t="s">
        <v>295</v>
      </c>
      <c r="B26" s="111" t="s">
        <v>280</v>
      </c>
      <c r="C26" s="112" t="s">
        <v>296</v>
      </c>
      <c r="D26" s="136">
        <v>9</v>
      </c>
    </row>
    <row r="27" spans="1:4" s="152" customFormat="1" ht="16" customHeight="1">
      <c r="A27" s="111" t="s">
        <v>315</v>
      </c>
      <c r="B27" s="111" t="s">
        <v>280</v>
      </c>
      <c r="C27" s="112" t="s">
        <v>316</v>
      </c>
      <c r="D27" s="136">
        <v>9</v>
      </c>
    </row>
    <row r="28" spans="1:4" s="101" customFormat="1" ht="16" customHeight="1">
      <c r="A28" s="108" t="s">
        <v>357</v>
      </c>
      <c r="B28" s="108"/>
      <c r="C28" s="109"/>
      <c r="D28" s="137"/>
    </row>
    <row r="29" spans="1:4" s="152" customFormat="1" ht="16" customHeight="1">
      <c r="A29" s="111">
        <v>3.1</v>
      </c>
      <c r="B29" s="111" t="s">
        <v>277</v>
      </c>
      <c r="C29" s="112" t="s">
        <v>319</v>
      </c>
      <c r="D29" s="136">
        <v>1060000</v>
      </c>
    </row>
    <row r="30" spans="1:4" s="152" customFormat="1" ht="16" customHeight="1">
      <c r="A30" s="111">
        <v>6.1</v>
      </c>
      <c r="B30" s="111" t="s">
        <v>277</v>
      </c>
      <c r="C30" s="112" t="s">
        <v>334</v>
      </c>
      <c r="D30" s="136">
        <v>1</v>
      </c>
    </row>
    <row r="31" spans="1:4" s="152" customFormat="1" ht="16" customHeight="1">
      <c r="A31" s="111" t="s">
        <v>313</v>
      </c>
      <c r="B31" s="111" t="s">
        <v>280</v>
      </c>
      <c r="C31" s="112" t="s">
        <v>314</v>
      </c>
      <c r="D31" s="136">
        <v>480.8</v>
      </c>
    </row>
    <row r="32" spans="1:4" s="101" customFormat="1" ht="16" customHeight="1">
      <c r="A32" s="108" t="s">
        <v>358</v>
      </c>
      <c r="B32" s="108"/>
      <c r="C32" s="109"/>
      <c r="D32" s="137"/>
    </row>
    <row r="33" spans="1:4" s="152" customFormat="1" ht="16" customHeight="1">
      <c r="A33" s="111" t="s">
        <v>295</v>
      </c>
      <c r="B33" s="111" t="s">
        <v>280</v>
      </c>
      <c r="C33" s="112" t="s">
        <v>296</v>
      </c>
      <c r="D33" s="136">
        <v>5</v>
      </c>
    </row>
    <row r="34" spans="1:4" s="101" customFormat="1" ht="16" customHeight="1">
      <c r="A34" s="108" t="s">
        <v>359</v>
      </c>
      <c r="B34" s="108"/>
      <c r="C34" s="109"/>
      <c r="D34" s="137"/>
    </row>
    <row r="35" spans="1:4" s="152" customFormat="1" ht="16" customHeight="1">
      <c r="A35" s="111">
        <v>6.1</v>
      </c>
      <c r="B35" s="111" t="s">
        <v>277</v>
      </c>
      <c r="C35" s="112" t="s">
        <v>334</v>
      </c>
      <c r="D35" s="136">
        <v>1</v>
      </c>
    </row>
    <row r="36" spans="1:4" s="152" customFormat="1" ht="16" customHeight="1">
      <c r="A36" s="111" t="s">
        <v>360</v>
      </c>
      <c r="B36" s="111" t="s">
        <v>280</v>
      </c>
      <c r="C36" s="112" t="s">
        <v>361</v>
      </c>
      <c r="D36" s="136">
        <v>1</v>
      </c>
    </row>
    <row r="37" spans="1:4" s="152" customFormat="1" ht="16" customHeight="1">
      <c r="A37" s="111" t="s">
        <v>362</v>
      </c>
      <c r="B37" s="111" t="s">
        <v>280</v>
      </c>
      <c r="C37" s="112" t="s">
        <v>363</v>
      </c>
      <c r="D37" s="136">
        <v>3</v>
      </c>
    </row>
    <row r="38" spans="1:4" s="101" customFormat="1" ht="16" customHeight="1">
      <c r="A38" s="108" t="s">
        <v>364</v>
      </c>
      <c r="B38" s="108"/>
      <c r="C38" s="109"/>
      <c r="D38" s="137"/>
    </row>
    <row r="39" spans="1:4" s="152" customFormat="1" ht="16" customHeight="1">
      <c r="A39" s="111">
        <v>1.2</v>
      </c>
      <c r="B39" s="111" t="s">
        <v>277</v>
      </c>
      <c r="C39" s="112" t="s">
        <v>318</v>
      </c>
      <c r="D39" s="136">
        <v>529362</v>
      </c>
    </row>
    <row r="40" spans="1:4" s="152" customFormat="1" ht="16" customHeight="1">
      <c r="A40" s="111">
        <v>1.3</v>
      </c>
      <c r="B40" s="111" t="s">
        <v>277</v>
      </c>
      <c r="C40" s="112" t="s">
        <v>291</v>
      </c>
      <c r="D40" s="136">
        <v>1787000</v>
      </c>
    </row>
    <row r="41" spans="1:4" s="152" customFormat="1" ht="16" customHeight="1">
      <c r="A41" s="111">
        <v>2.1</v>
      </c>
      <c r="B41" s="111" t="s">
        <v>277</v>
      </c>
      <c r="C41" s="112" t="s">
        <v>365</v>
      </c>
      <c r="D41" s="136">
        <v>197160</v>
      </c>
    </row>
    <row r="42" spans="1:4" s="152" customFormat="1" ht="16" customHeight="1">
      <c r="A42" s="111">
        <v>2.2999999999999998</v>
      </c>
      <c r="B42" s="111" t="s">
        <v>277</v>
      </c>
      <c r="C42" s="112" t="s">
        <v>366</v>
      </c>
      <c r="D42" s="136">
        <v>1682</v>
      </c>
    </row>
    <row r="43" spans="1:4" s="152" customFormat="1" ht="16" customHeight="1">
      <c r="A43" s="111">
        <v>2.5</v>
      </c>
      <c r="B43" s="111" t="s">
        <v>277</v>
      </c>
      <c r="C43" s="112" t="s">
        <v>367</v>
      </c>
      <c r="D43" s="136">
        <v>865</v>
      </c>
    </row>
    <row r="44" spans="1:4" s="152" customFormat="1" ht="16" customHeight="1">
      <c r="A44" s="111">
        <v>5.0999999999999996</v>
      </c>
      <c r="B44" s="111" t="s">
        <v>277</v>
      </c>
      <c r="C44" s="112" t="s">
        <v>343</v>
      </c>
      <c r="D44" s="136">
        <v>1787000</v>
      </c>
    </row>
    <row r="45" spans="1:4" s="152" customFormat="1" ht="16" customHeight="1">
      <c r="A45" s="111">
        <v>6.2</v>
      </c>
      <c r="B45" s="111" t="s">
        <v>277</v>
      </c>
      <c r="C45" s="112" t="s">
        <v>303</v>
      </c>
      <c r="D45" s="136">
        <v>10</v>
      </c>
    </row>
    <row r="46" spans="1:4" s="152" customFormat="1" ht="16" customHeight="1">
      <c r="A46" s="111" t="s">
        <v>304</v>
      </c>
      <c r="B46" s="111" t="s">
        <v>280</v>
      </c>
      <c r="C46" s="112" t="s">
        <v>305</v>
      </c>
      <c r="D46" s="136">
        <v>5</v>
      </c>
    </row>
    <row r="47" spans="1:4" s="152" customFormat="1" ht="16" customHeight="1">
      <c r="A47" s="111" t="s">
        <v>306</v>
      </c>
      <c r="B47" s="111" t="s">
        <v>280</v>
      </c>
      <c r="C47" s="112" t="s">
        <v>307</v>
      </c>
      <c r="D47" s="136">
        <v>857760</v>
      </c>
    </row>
    <row r="48" spans="1:4" s="152" customFormat="1" ht="16" customHeight="1">
      <c r="A48" s="111" t="s">
        <v>308</v>
      </c>
      <c r="B48" s="111" t="s">
        <v>280</v>
      </c>
      <c r="C48" s="112" t="s">
        <v>309</v>
      </c>
      <c r="D48" s="136">
        <v>5</v>
      </c>
    </row>
    <row r="49" spans="1:4" s="152" customFormat="1" ht="16" customHeight="1">
      <c r="A49" s="111" t="s">
        <v>368</v>
      </c>
      <c r="B49" s="111" t="s">
        <v>280</v>
      </c>
      <c r="C49" s="112" t="s">
        <v>369</v>
      </c>
      <c r="D49" s="136">
        <v>4</v>
      </c>
    </row>
    <row r="50" spans="1:4" s="152" customFormat="1" ht="16" customHeight="1">
      <c r="A50" s="111" t="s">
        <v>315</v>
      </c>
      <c r="B50" s="111" t="s">
        <v>280</v>
      </c>
      <c r="C50" s="112" t="s">
        <v>316</v>
      </c>
      <c r="D50" s="136">
        <v>5</v>
      </c>
    </row>
    <row r="51" spans="1:4" s="152" customFormat="1" ht="16" customHeight="1">
      <c r="A51" s="111" t="s">
        <v>310</v>
      </c>
      <c r="B51" s="111" t="s">
        <v>280</v>
      </c>
      <c r="C51" s="112" t="s">
        <v>311</v>
      </c>
      <c r="D51" s="136">
        <v>3493</v>
      </c>
    </row>
    <row r="52" spans="1:4" s="152" customFormat="1" ht="15" customHeight="1">
      <c r="A52" s="111" t="s">
        <v>370</v>
      </c>
      <c r="B52" s="111" t="s">
        <v>280</v>
      </c>
      <c r="C52" s="112" t="s">
        <v>371</v>
      </c>
      <c r="D52" s="156">
        <v>1</v>
      </c>
    </row>
    <row r="53" spans="1:4" s="101" customFormat="1" ht="15" customHeight="1">
      <c r="A53" s="108" t="s">
        <v>372</v>
      </c>
      <c r="B53" s="108"/>
      <c r="C53" s="109"/>
      <c r="D53" s="137"/>
    </row>
    <row r="54" spans="1:4" s="152" customFormat="1" ht="15" customHeight="1">
      <c r="A54" s="111">
        <v>6.1</v>
      </c>
      <c r="B54" s="111" t="s">
        <v>277</v>
      </c>
      <c r="C54" s="112" t="s">
        <v>334</v>
      </c>
      <c r="D54" s="136">
        <v>1</v>
      </c>
    </row>
    <row r="55" spans="1:4" s="152" customFormat="1" ht="15" customHeight="1">
      <c r="A55" s="111" t="s">
        <v>373</v>
      </c>
      <c r="B55" s="111" t="s">
        <v>280</v>
      </c>
      <c r="C55" s="112" t="s">
        <v>374</v>
      </c>
      <c r="D55" s="136">
        <v>5</v>
      </c>
    </row>
    <row r="56" spans="1:4" s="152" customFormat="1" ht="15" customHeight="1">
      <c r="A56" s="111" t="s">
        <v>375</v>
      </c>
      <c r="B56" s="111" t="s">
        <v>280</v>
      </c>
      <c r="C56" s="112" t="s">
        <v>376</v>
      </c>
      <c r="D56" s="136">
        <v>1</v>
      </c>
    </row>
    <row r="57" spans="1:4" s="152" customFormat="1" ht="15" customHeight="1">
      <c r="A57" s="111" t="s">
        <v>306</v>
      </c>
      <c r="B57" s="111" t="s">
        <v>280</v>
      </c>
      <c r="C57" s="112" t="s">
        <v>307</v>
      </c>
      <c r="D57" s="136">
        <v>6580230</v>
      </c>
    </row>
    <row r="58" spans="1:4" s="152" customFormat="1" ht="15" customHeight="1">
      <c r="A58" s="111" t="s">
        <v>377</v>
      </c>
      <c r="B58" s="111" t="s">
        <v>280</v>
      </c>
      <c r="C58" s="112" t="s">
        <v>378</v>
      </c>
      <c r="D58" s="136">
        <v>1</v>
      </c>
    </row>
    <row r="59" spans="1:4" s="152" customFormat="1" ht="15" customHeight="1">
      <c r="A59" s="111" t="s">
        <v>360</v>
      </c>
      <c r="B59" s="111" t="s">
        <v>280</v>
      </c>
      <c r="C59" s="112" t="s">
        <v>361</v>
      </c>
      <c r="D59" s="136">
        <v>3</v>
      </c>
    </row>
    <row r="60" spans="1:4" s="152" customFormat="1" ht="15" customHeight="1">
      <c r="A60" s="111" t="s">
        <v>362</v>
      </c>
      <c r="B60" s="111" t="s">
        <v>280</v>
      </c>
      <c r="C60" s="112" t="s">
        <v>363</v>
      </c>
      <c r="D60" s="136">
        <v>3</v>
      </c>
    </row>
    <row r="61" spans="1:4" s="101" customFormat="1" ht="15" customHeight="1">
      <c r="A61" s="108" t="s">
        <v>379</v>
      </c>
      <c r="B61" s="108"/>
      <c r="C61" s="109"/>
      <c r="D61" s="137"/>
    </row>
    <row r="62" spans="1:4" s="152" customFormat="1" ht="15" customHeight="1">
      <c r="A62" s="111" t="s">
        <v>315</v>
      </c>
      <c r="B62" s="111" t="s">
        <v>316</v>
      </c>
      <c r="C62" s="112"/>
      <c r="D62" s="136">
        <v>55</v>
      </c>
    </row>
    <row r="63" spans="1:4" s="152" customFormat="1" ht="15" customHeight="1">
      <c r="A63" s="111" t="s">
        <v>310</v>
      </c>
      <c r="B63" s="111" t="s">
        <v>311</v>
      </c>
      <c r="C63" s="112"/>
      <c r="D63" s="136">
        <v>705</v>
      </c>
    </row>
    <row r="64" spans="1:4" s="152" customFormat="1" ht="15" customHeight="1">
      <c r="A64" s="111" t="s">
        <v>360</v>
      </c>
      <c r="B64" s="111" t="s">
        <v>361</v>
      </c>
      <c r="C64" s="112"/>
      <c r="D64" s="136">
        <v>2</v>
      </c>
    </row>
    <row r="65" spans="1:4" s="101" customFormat="1" ht="15" customHeight="1">
      <c r="A65" s="108" t="s">
        <v>380</v>
      </c>
      <c r="B65" s="108"/>
      <c r="C65" s="109"/>
      <c r="D65" s="137"/>
    </row>
    <row r="66" spans="1:4" s="152" customFormat="1" ht="15" customHeight="1">
      <c r="A66" s="111">
        <v>6.2</v>
      </c>
      <c r="B66" s="111" t="s">
        <v>277</v>
      </c>
      <c r="C66" s="112" t="s">
        <v>303</v>
      </c>
      <c r="D66" s="136">
        <v>1</v>
      </c>
    </row>
    <row r="67" spans="1:4" s="152" customFormat="1" ht="15" customHeight="1">
      <c r="A67" s="111" t="s">
        <v>315</v>
      </c>
      <c r="B67" s="111" t="s">
        <v>316</v>
      </c>
      <c r="C67" s="112"/>
      <c r="D67" s="136">
        <v>1</v>
      </c>
    </row>
    <row r="68" spans="1:4" s="152" customFormat="1" ht="15" customHeight="1">
      <c r="A68" s="111" t="s">
        <v>310</v>
      </c>
      <c r="B68" s="111" t="s">
        <v>311</v>
      </c>
      <c r="C68" s="112"/>
      <c r="D68" s="136">
        <v>944</v>
      </c>
    </row>
    <row r="69" spans="1:4" s="152" customFormat="1" ht="15" customHeight="1">
      <c r="A69" s="111" t="s">
        <v>362</v>
      </c>
      <c r="B69" s="111" t="s">
        <v>363</v>
      </c>
      <c r="C69" s="112"/>
      <c r="D69" s="136">
        <v>1</v>
      </c>
    </row>
    <row r="70" spans="1:4" ht="15" customHeight="1">
      <c r="A70" s="105" t="s">
        <v>332</v>
      </c>
      <c r="B70" s="105"/>
      <c r="C70" s="114"/>
      <c r="D70" s="139"/>
    </row>
    <row r="71" spans="1:4" ht="15" customHeight="1">
      <c r="A71" s="115" t="s">
        <v>381</v>
      </c>
      <c r="B71" s="111"/>
      <c r="C71" s="116"/>
      <c r="D71" s="140"/>
    </row>
    <row r="72" spans="1:4" ht="15" customHeight="1">
      <c r="A72" s="118">
        <v>1.2</v>
      </c>
      <c r="B72" s="111" t="s">
        <v>277</v>
      </c>
      <c r="C72" s="116" t="s">
        <v>318</v>
      </c>
      <c r="D72" s="140">
        <v>110</v>
      </c>
    </row>
    <row r="73" spans="1:4" ht="15" customHeight="1">
      <c r="A73" s="118">
        <v>3.1</v>
      </c>
      <c r="B73" s="111" t="s">
        <v>277</v>
      </c>
      <c r="C73" s="116" t="s">
        <v>319</v>
      </c>
      <c r="D73" s="151">
        <v>187720</v>
      </c>
    </row>
    <row r="74" spans="1:4" ht="15" customHeight="1">
      <c r="A74" s="118" t="s">
        <v>313</v>
      </c>
      <c r="B74" s="111" t="s">
        <v>280</v>
      </c>
      <c r="C74" s="116" t="s">
        <v>314</v>
      </c>
      <c r="D74" s="151">
        <v>100</v>
      </c>
    </row>
    <row r="75" spans="1:4" s="101" customFormat="1" ht="15" customHeight="1">
      <c r="A75" s="115" t="s">
        <v>382</v>
      </c>
      <c r="B75" s="108"/>
      <c r="C75" s="119"/>
      <c r="D75" s="157"/>
    </row>
    <row r="76" spans="1:4" s="152" customFormat="1" ht="15" customHeight="1">
      <c r="A76" s="118">
        <v>3.1</v>
      </c>
      <c r="B76" s="111" t="s">
        <v>277</v>
      </c>
      <c r="C76" s="116" t="s">
        <v>319</v>
      </c>
      <c r="D76" s="140">
        <v>8099782</v>
      </c>
    </row>
    <row r="77" spans="1:4" ht="15" customHeight="1">
      <c r="A77" s="111" t="s">
        <v>313</v>
      </c>
      <c r="B77" s="111" t="s">
        <v>280</v>
      </c>
      <c r="C77" s="116" t="s">
        <v>314</v>
      </c>
      <c r="D77" s="140">
        <v>3400.3</v>
      </c>
    </row>
    <row r="78" spans="1:4" s="100" customFormat="1" ht="15" customHeight="1">
      <c r="A78" s="153" t="s">
        <v>349</v>
      </c>
      <c r="B78" s="153"/>
      <c r="C78" s="154"/>
      <c r="D78" s="155" t="s">
        <v>236</v>
      </c>
    </row>
  </sheetData>
  <hyperlinks>
    <hyperlink ref="A4" r:id="rId1" xr:uid="{1A7B73FD-633C-064A-8256-42F8B6F455F1}"/>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EFF1-FB56-284F-B3AD-C405397852BD}">
  <dimension ref="A1:D173"/>
  <sheetViews>
    <sheetView zoomScale="135" workbookViewId="0">
      <selection activeCell="A71" sqref="A71"/>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395</v>
      </c>
      <c r="B2" s="94"/>
      <c r="C2" s="95"/>
      <c r="D2" s="96"/>
    </row>
    <row r="3" spans="1:4">
      <c r="A3" s="103" t="s">
        <v>269</v>
      </c>
      <c r="B3" s="94"/>
      <c r="C3" s="95"/>
      <c r="D3" s="96"/>
    </row>
    <row r="4" spans="1:4">
      <c r="A4" s="90" t="s">
        <v>396</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397</v>
      </c>
      <c r="B8" s="108"/>
      <c r="C8" s="109"/>
      <c r="D8" s="137"/>
    </row>
    <row r="9" spans="1:4" ht="16" customHeight="1">
      <c r="A9" s="111">
        <v>1.2</v>
      </c>
      <c r="B9" s="111" t="s">
        <v>277</v>
      </c>
      <c r="C9" s="112" t="s">
        <v>318</v>
      </c>
      <c r="D9" s="136">
        <v>2502.8213622629146</v>
      </c>
    </row>
    <row r="10" spans="1:4" ht="16" customHeight="1">
      <c r="A10" s="111">
        <v>2.4</v>
      </c>
      <c r="B10" s="111" t="s">
        <v>277</v>
      </c>
      <c r="C10" s="112" t="s">
        <v>302</v>
      </c>
      <c r="D10" s="159">
        <v>6961509.270823326</v>
      </c>
    </row>
    <row r="11" spans="1:4" ht="16" customHeight="1">
      <c r="A11" s="111">
        <v>5.0999999999999996</v>
      </c>
      <c r="B11" s="111" t="s">
        <v>277</v>
      </c>
      <c r="C11" s="112" t="s">
        <v>343</v>
      </c>
      <c r="D11" s="159">
        <v>14492470</v>
      </c>
    </row>
    <row r="12" spans="1:4" ht="16" customHeight="1">
      <c r="A12" s="111">
        <v>6.2</v>
      </c>
      <c r="B12" s="111" t="s">
        <v>277</v>
      </c>
      <c r="C12" s="112" t="s">
        <v>303</v>
      </c>
      <c r="D12" s="159">
        <v>1</v>
      </c>
    </row>
    <row r="13" spans="1:4" ht="16" customHeight="1">
      <c r="A13" s="111" t="s">
        <v>308</v>
      </c>
      <c r="B13" s="111" t="s">
        <v>280</v>
      </c>
      <c r="C13" s="112" t="s">
        <v>309</v>
      </c>
      <c r="D13" s="159">
        <v>1</v>
      </c>
    </row>
    <row r="14" spans="1:4" ht="16" customHeight="1">
      <c r="A14" s="111" t="s">
        <v>282</v>
      </c>
      <c r="B14" s="111" t="s">
        <v>280</v>
      </c>
      <c r="C14" s="112" t="s">
        <v>283</v>
      </c>
      <c r="D14" s="159">
        <v>1</v>
      </c>
    </row>
    <row r="15" spans="1:4" ht="16" customHeight="1">
      <c r="A15" s="111" t="s">
        <v>315</v>
      </c>
      <c r="B15" s="111" t="s">
        <v>280</v>
      </c>
      <c r="C15" s="112" t="s">
        <v>316</v>
      </c>
      <c r="D15" s="159">
        <v>1</v>
      </c>
    </row>
    <row r="16" spans="1:4" ht="16" customHeight="1">
      <c r="A16" s="111" t="s">
        <v>288</v>
      </c>
      <c r="B16" s="111" t="s">
        <v>280</v>
      </c>
      <c r="C16" s="112" t="s">
        <v>289</v>
      </c>
      <c r="D16" s="159">
        <v>1</v>
      </c>
    </row>
    <row r="17" spans="1:4" s="101" customFormat="1" ht="16" customHeight="1">
      <c r="A17" s="108" t="s">
        <v>398</v>
      </c>
      <c r="B17" s="108"/>
      <c r="C17" s="109"/>
      <c r="D17" s="160"/>
    </row>
    <row r="18" spans="1:4" ht="16" customHeight="1">
      <c r="A18" s="111">
        <v>1.2</v>
      </c>
      <c r="B18" s="111" t="s">
        <v>277</v>
      </c>
      <c r="C18" s="112" t="s">
        <v>318</v>
      </c>
      <c r="D18" s="159">
        <v>359000</v>
      </c>
    </row>
    <row r="19" spans="1:4" ht="16" customHeight="1">
      <c r="A19" s="111">
        <v>2.2999999999999998</v>
      </c>
      <c r="B19" s="111" t="s">
        <v>277</v>
      </c>
      <c r="C19" s="112" t="s">
        <v>366</v>
      </c>
      <c r="D19" s="159">
        <v>295</v>
      </c>
    </row>
    <row r="20" spans="1:4" ht="16" customHeight="1">
      <c r="A20" s="111">
        <v>6.2</v>
      </c>
      <c r="B20" s="111" t="s">
        <v>277</v>
      </c>
      <c r="C20" s="112" t="s">
        <v>303</v>
      </c>
      <c r="D20" s="159">
        <v>2</v>
      </c>
    </row>
    <row r="21" spans="1:4" ht="16" customHeight="1">
      <c r="A21" s="111" t="s">
        <v>320</v>
      </c>
      <c r="B21" s="111" t="s">
        <v>280</v>
      </c>
      <c r="C21" s="112" t="s">
        <v>321</v>
      </c>
      <c r="D21" s="159">
        <v>4528</v>
      </c>
    </row>
    <row r="22" spans="1:4" ht="16" customHeight="1">
      <c r="A22" s="111" t="s">
        <v>308</v>
      </c>
      <c r="B22" s="111" t="s">
        <v>280</v>
      </c>
      <c r="C22" s="112" t="s">
        <v>309</v>
      </c>
      <c r="D22" s="159">
        <v>3</v>
      </c>
    </row>
    <row r="23" spans="1:4" ht="16" customHeight="1">
      <c r="A23" s="111" t="s">
        <v>295</v>
      </c>
      <c r="B23" s="111" t="s">
        <v>280</v>
      </c>
      <c r="C23" s="112" t="s">
        <v>296</v>
      </c>
      <c r="D23" s="159">
        <v>3</v>
      </c>
    </row>
    <row r="24" spans="1:4" ht="16" customHeight="1">
      <c r="A24" s="111" t="s">
        <v>310</v>
      </c>
      <c r="B24" s="111" t="s">
        <v>280</v>
      </c>
      <c r="C24" s="112" t="s">
        <v>311</v>
      </c>
      <c r="D24" s="159">
        <v>4383</v>
      </c>
    </row>
    <row r="25" spans="1:4" ht="16" customHeight="1">
      <c r="A25" s="111" t="s">
        <v>377</v>
      </c>
      <c r="B25" s="111" t="s">
        <v>280</v>
      </c>
      <c r="C25" s="112" t="s">
        <v>378</v>
      </c>
      <c r="D25" s="159">
        <v>1</v>
      </c>
    </row>
    <row r="26" spans="1:4" ht="16" customHeight="1">
      <c r="A26" s="111" t="s">
        <v>370</v>
      </c>
      <c r="B26" s="111" t="s">
        <v>280</v>
      </c>
      <c r="C26" s="112" t="s">
        <v>371</v>
      </c>
      <c r="D26" s="159">
        <v>3</v>
      </c>
    </row>
    <row r="27" spans="1:4" s="101" customFormat="1" ht="16" customHeight="1">
      <c r="A27" s="108" t="s">
        <v>399</v>
      </c>
      <c r="B27" s="108"/>
      <c r="C27" s="109"/>
      <c r="D27" s="160"/>
    </row>
    <row r="28" spans="1:4" ht="16" customHeight="1">
      <c r="A28" s="111">
        <v>1.2</v>
      </c>
      <c r="B28" s="111" t="s">
        <v>277</v>
      </c>
      <c r="C28" s="112" t="s">
        <v>318</v>
      </c>
      <c r="D28" s="159">
        <v>5080</v>
      </c>
    </row>
    <row r="29" spans="1:4" ht="16" customHeight="1">
      <c r="A29" s="111">
        <v>2.1</v>
      </c>
      <c r="B29" s="111" t="s">
        <v>277</v>
      </c>
      <c r="C29" s="112" t="s">
        <v>365</v>
      </c>
      <c r="D29" s="159">
        <v>2087</v>
      </c>
    </row>
    <row r="30" spans="1:4" ht="16" customHeight="1">
      <c r="A30" s="111">
        <v>6.2</v>
      </c>
      <c r="B30" s="111" t="s">
        <v>277</v>
      </c>
      <c r="C30" s="112" t="s">
        <v>303</v>
      </c>
      <c r="D30" s="159">
        <v>2</v>
      </c>
    </row>
    <row r="31" spans="1:4" ht="16" customHeight="1">
      <c r="A31" s="111" t="s">
        <v>320</v>
      </c>
      <c r="B31" s="111" t="s">
        <v>280</v>
      </c>
      <c r="C31" s="112" t="s">
        <v>321</v>
      </c>
      <c r="D31" s="159">
        <v>535</v>
      </c>
    </row>
    <row r="32" spans="1:4" ht="16" customHeight="1">
      <c r="A32" s="111" t="s">
        <v>308</v>
      </c>
      <c r="B32" s="111" t="s">
        <v>280</v>
      </c>
      <c r="C32" s="112" t="s">
        <v>309</v>
      </c>
      <c r="D32" s="159">
        <v>3</v>
      </c>
    </row>
    <row r="33" spans="1:4" ht="16" customHeight="1">
      <c r="A33" s="111" t="s">
        <v>295</v>
      </c>
      <c r="B33" s="111" t="s">
        <v>280</v>
      </c>
      <c r="C33" s="112" t="s">
        <v>296</v>
      </c>
      <c r="D33" s="159">
        <v>3</v>
      </c>
    </row>
    <row r="34" spans="1:4" ht="16" customHeight="1">
      <c r="A34" s="111" t="s">
        <v>310</v>
      </c>
      <c r="B34" s="111" t="s">
        <v>280</v>
      </c>
      <c r="C34" s="112" t="s">
        <v>311</v>
      </c>
      <c r="D34" s="159">
        <v>294</v>
      </c>
    </row>
    <row r="35" spans="1:4" s="101" customFormat="1" ht="16" customHeight="1">
      <c r="A35" s="108" t="s">
        <v>400</v>
      </c>
      <c r="B35" s="108"/>
      <c r="C35" s="109"/>
      <c r="D35" s="160"/>
    </row>
    <row r="36" spans="1:4" ht="16" customHeight="1">
      <c r="A36" s="111" t="s">
        <v>295</v>
      </c>
      <c r="B36" s="111" t="s">
        <v>280</v>
      </c>
      <c r="C36" s="112" t="s">
        <v>296</v>
      </c>
      <c r="D36" s="159">
        <v>2</v>
      </c>
    </row>
    <row r="37" spans="1:4" s="101" customFormat="1" ht="16" customHeight="1">
      <c r="A37" s="108" t="s">
        <v>401</v>
      </c>
      <c r="B37" s="108"/>
      <c r="C37" s="109"/>
      <c r="D37" s="160"/>
    </row>
    <row r="38" spans="1:4" ht="16" customHeight="1">
      <c r="A38" s="111">
        <v>1.3</v>
      </c>
      <c r="B38" s="111" t="s">
        <v>277</v>
      </c>
      <c r="C38" s="112" t="s">
        <v>291</v>
      </c>
      <c r="D38" s="159">
        <v>10200</v>
      </c>
    </row>
    <row r="39" spans="1:4" ht="16" customHeight="1">
      <c r="A39" s="111" t="s">
        <v>322</v>
      </c>
      <c r="B39" s="111" t="s">
        <v>280</v>
      </c>
      <c r="C39" s="112" t="s">
        <v>323</v>
      </c>
      <c r="D39" s="161">
        <v>0</v>
      </c>
    </row>
    <row r="40" spans="1:4" ht="16" customHeight="1">
      <c r="A40" s="111" t="s">
        <v>308</v>
      </c>
      <c r="B40" s="111" t="s">
        <v>280</v>
      </c>
      <c r="C40" s="112" t="s">
        <v>309</v>
      </c>
      <c r="D40" s="159">
        <v>2</v>
      </c>
    </row>
    <row r="41" spans="1:4" ht="16" customHeight="1">
      <c r="A41" s="111" t="s">
        <v>402</v>
      </c>
      <c r="B41" s="111" t="s">
        <v>280</v>
      </c>
      <c r="C41" s="112" t="s">
        <v>403</v>
      </c>
      <c r="D41" s="159">
        <v>2056</v>
      </c>
    </row>
    <row r="42" spans="1:4" ht="16" customHeight="1">
      <c r="A42" s="111" t="s">
        <v>328</v>
      </c>
      <c r="B42" s="111" t="s">
        <v>280</v>
      </c>
      <c r="C42" s="112" t="s">
        <v>329</v>
      </c>
      <c r="D42" s="159">
        <v>1</v>
      </c>
    </row>
    <row r="43" spans="1:4" ht="16" customHeight="1">
      <c r="A43" s="111" t="s">
        <v>310</v>
      </c>
      <c r="B43" s="111" t="s">
        <v>280</v>
      </c>
      <c r="C43" s="112" t="s">
        <v>311</v>
      </c>
      <c r="D43" s="159">
        <v>200</v>
      </c>
    </row>
    <row r="44" spans="1:4" ht="16" customHeight="1">
      <c r="A44" s="111" t="s">
        <v>370</v>
      </c>
      <c r="B44" s="111" t="s">
        <v>280</v>
      </c>
      <c r="C44" s="112" t="s">
        <v>371</v>
      </c>
      <c r="D44" s="159">
        <v>1</v>
      </c>
    </row>
    <row r="45" spans="1:4" s="101" customFormat="1" ht="16" customHeight="1">
      <c r="A45" s="108" t="s">
        <v>404</v>
      </c>
      <c r="B45" s="108"/>
      <c r="C45" s="109"/>
      <c r="D45" s="160"/>
    </row>
    <row r="46" spans="1:4" ht="16" customHeight="1">
      <c r="A46" s="111">
        <v>4.0999999999999996</v>
      </c>
      <c r="B46" s="111" t="s">
        <v>277</v>
      </c>
      <c r="C46" s="112" t="s">
        <v>293</v>
      </c>
      <c r="D46" s="159">
        <v>1800000</v>
      </c>
    </row>
    <row r="47" spans="1:4" ht="16" customHeight="1">
      <c r="A47" s="111" t="s">
        <v>306</v>
      </c>
      <c r="B47" s="111" t="s">
        <v>280</v>
      </c>
      <c r="C47" s="112" t="s">
        <v>307</v>
      </c>
      <c r="D47" s="159">
        <v>189600</v>
      </c>
    </row>
    <row r="48" spans="1:4" ht="16" customHeight="1">
      <c r="A48" s="111" t="s">
        <v>328</v>
      </c>
      <c r="B48" s="111" t="s">
        <v>280</v>
      </c>
      <c r="C48" s="112" t="s">
        <v>329</v>
      </c>
      <c r="D48" s="159">
        <v>1</v>
      </c>
    </row>
    <row r="49" spans="1:4" ht="16" customHeight="1">
      <c r="A49" s="111" t="s">
        <v>286</v>
      </c>
      <c r="B49" s="111" t="s">
        <v>280</v>
      </c>
      <c r="C49" s="112" t="s">
        <v>287</v>
      </c>
      <c r="D49" s="159">
        <v>6</v>
      </c>
    </row>
    <row r="50" spans="1:4" ht="16" customHeight="1">
      <c r="A50" s="111" t="s">
        <v>295</v>
      </c>
      <c r="B50" s="111" t="s">
        <v>280</v>
      </c>
      <c r="C50" s="112" t="s">
        <v>296</v>
      </c>
      <c r="D50" s="159">
        <v>10</v>
      </c>
    </row>
    <row r="51" spans="1:4" ht="16" customHeight="1">
      <c r="A51" s="111" t="s">
        <v>297</v>
      </c>
      <c r="B51" s="111" t="s">
        <v>280</v>
      </c>
      <c r="C51" s="112" t="s">
        <v>298</v>
      </c>
      <c r="D51" s="159">
        <v>1</v>
      </c>
    </row>
    <row r="52" spans="1:4" ht="16" customHeight="1">
      <c r="A52" s="111" t="s">
        <v>299</v>
      </c>
      <c r="B52" s="111" t="s">
        <v>280</v>
      </c>
      <c r="C52" s="112" t="s">
        <v>300</v>
      </c>
      <c r="D52" s="159">
        <v>2</v>
      </c>
    </row>
    <row r="53" spans="1:4" s="101" customFormat="1" ht="16" customHeight="1">
      <c r="A53" s="108" t="s">
        <v>405</v>
      </c>
      <c r="B53" s="108"/>
      <c r="C53" s="109"/>
      <c r="D53" s="160"/>
    </row>
    <row r="54" spans="1:4" ht="16" customHeight="1">
      <c r="A54" s="111">
        <v>1.3</v>
      </c>
      <c r="B54" s="111" t="s">
        <v>277</v>
      </c>
      <c r="C54" s="112" t="s">
        <v>291</v>
      </c>
      <c r="D54" s="159">
        <v>10760000</v>
      </c>
    </row>
    <row r="55" spans="1:4" ht="16" customHeight="1">
      <c r="A55" s="111" t="s">
        <v>304</v>
      </c>
      <c r="B55" s="111" t="s">
        <v>280</v>
      </c>
      <c r="C55" s="112" t="s">
        <v>305</v>
      </c>
      <c r="D55" s="159">
        <v>1</v>
      </c>
    </row>
    <row r="56" spans="1:4" ht="16" customHeight="1">
      <c r="A56" s="111" t="s">
        <v>282</v>
      </c>
      <c r="B56" s="111" t="s">
        <v>280</v>
      </c>
      <c r="C56" s="112" t="s">
        <v>283</v>
      </c>
      <c r="D56" s="159">
        <v>1</v>
      </c>
    </row>
    <row r="57" spans="1:4" s="101" customFormat="1" ht="16" customHeight="1">
      <c r="A57" s="108" t="s">
        <v>406</v>
      </c>
      <c r="B57" s="108"/>
      <c r="C57" s="109"/>
      <c r="D57" s="160"/>
    </row>
    <row r="58" spans="1:4" ht="16" customHeight="1">
      <c r="A58" s="111">
        <v>1.2</v>
      </c>
      <c r="B58" s="111" t="s">
        <v>277</v>
      </c>
      <c r="C58" s="112" t="s">
        <v>318</v>
      </c>
      <c r="D58" s="159">
        <v>1777.7088242233835</v>
      </c>
    </row>
    <row r="59" spans="1:4" ht="16" customHeight="1">
      <c r="A59" s="111">
        <v>5.0999999999999996</v>
      </c>
      <c r="B59" s="111" t="s">
        <v>277</v>
      </c>
      <c r="C59" s="112" t="s">
        <v>343</v>
      </c>
      <c r="D59" s="159">
        <v>3524715</v>
      </c>
    </row>
    <row r="60" spans="1:4" ht="16" customHeight="1">
      <c r="A60" s="111">
        <v>6.1</v>
      </c>
      <c r="B60" s="111" t="s">
        <v>277</v>
      </c>
      <c r="C60" s="112" t="s">
        <v>334</v>
      </c>
      <c r="D60" s="159">
        <v>1</v>
      </c>
    </row>
    <row r="61" spans="1:4" ht="16" customHeight="1">
      <c r="A61" s="111" t="s">
        <v>315</v>
      </c>
      <c r="B61" s="111" t="s">
        <v>280</v>
      </c>
      <c r="C61" s="112" t="s">
        <v>316</v>
      </c>
      <c r="D61" s="159">
        <v>14</v>
      </c>
    </row>
    <row r="62" spans="1:4" ht="16" customHeight="1">
      <c r="A62" s="111" t="s">
        <v>288</v>
      </c>
      <c r="B62" s="111" t="s">
        <v>280</v>
      </c>
      <c r="C62" s="112" t="s">
        <v>289</v>
      </c>
      <c r="D62" s="159">
        <v>3</v>
      </c>
    </row>
    <row r="63" spans="1:4" ht="16" customHeight="1">
      <c r="A63" s="111" t="s">
        <v>370</v>
      </c>
      <c r="B63" s="111" t="s">
        <v>280</v>
      </c>
      <c r="C63" s="112" t="s">
        <v>371</v>
      </c>
      <c r="D63" s="159">
        <v>1</v>
      </c>
    </row>
    <row r="64" spans="1:4" s="101" customFormat="1" ht="16" customHeight="1">
      <c r="A64" s="108" t="s">
        <v>407</v>
      </c>
      <c r="B64" s="108"/>
      <c r="C64" s="109"/>
      <c r="D64" s="160"/>
    </row>
    <row r="65" spans="1:4" ht="16" customHeight="1">
      <c r="A65" s="111">
        <v>1.2</v>
      </c>
      <c r="B65" s="111" t="s">
        <v>277</v>
      </c>
      <c r="C65" s="112" t="s">
        <v>318</v>
      </c>
      <c r="D65" s="159">
        <v>130000</v>
      </c>
    </row>
    <row r="66" spans="1:4" ht="16" customHeight="1">
      <c r="A66" s="111">
        <v>2.1</v>
      </c>
      <c r="B66" s="111" t="s">
        <v>277</v>
      </c>
      <c r="C66" s="112" t="s">
        <v>365</v>
      </c>
      <c r="D66" s="159">
        <v>330478.35539275949</v>
      </c>
    </row>
    <row r="67" spans="1:4" ht="16" customHeight="1">
      <c r="A67" s="111">
        <v>2.2999999999999998</v>
      </c>
      <c r="B67" s="111" t="s">
        <v>277</v>
      </c>
      <c r="C67" s="112" t="s">
        <v>366</v>
      </c>
      <c r="D67" s="159">
        <v>470</v>
      </c>
    </row>
    <row r="68" spans="1:4" ht="16" customHeight="1">
      <c r="A68" s="111">
        <v>6.1</v>
      </c>
      <c r="B68" s="111" t="s">
        <v>277</v>
      </c>
      <c r="C68" s="112" t="s">
        <v>334</v>
      </c>
      <c r="D68" s="159">
        <v>400</v>
      </c>
    </row>
    <row r="69" spans="1:4" ht="16" customHeight="1">
      <c r="A69" s="111" t="s">
        <v>322</v>
      </c>
      <c r="B69" s="111" t="s">
        <v>280</v>
      </c>
      <c r="C69" s="112" t="s">
        <v>323</v>
      </c>
      <c r="D69" s="159">
        <v>1098</v>
      </c>
    </row>
    <row r="70" spans="1:4" ht="16" customHeight="1">
      <c r="A70" s="111" t="s">
        <v>408</v>
      </c>
      <c r="B70" s="111" t="s">
        <v>280</v>
      </c>
      <c r="C70" s="112" t="s">
        <v>409</v>
      </c>
      <c r="D70" s="159">
        <v>460</v>
      </c>
    </row>
    <row r="71" spans="1:4" ht="16" customHeight="1">
      <c r="A71" s="111" t="s">
        <v>362</v>
      </c>
      <c r="B71" s="111" t="s">
        <v>280</v>
      </c>
      <c r="C71" s="112" t="s">
        <v>363</v>
      </c>
      <c r="D71" s="159">
        <v>1</v>
      </c>
    </row>
    <row r="72" spans="1:4" s="101" customFormat="1" ht="16" customHeight="1">
      <c r="A72" s="108" t="s">
        <v>410</v>
      </c>
      <c r="B72" s="108"/>
      <c r="C72" s="109"/>
      <c r="D72" s="160"/>
    </row>
    <row r="73" spans="1:4" ht="16" customHeight="1">
      <c r="A73" s="111">
        <v>5.0999999999999996</v>
      </c>
      <c r="B73" s="111" t="s">
        <v>277</v>
      </c>
      <c r="C73" s="112" t="s">
        <v>343</v>
      </c>
      <c r="D73" s="159">
        <v>54000000</v>
      </c>
    </row>
    <row r="74" spans="1:4" ht="16" customHeight="1">
      <c r="A74" s="111" t="s">
        <v>282</v>
      </c>
      <c r="B74" s="111" t="s">
        <v>280</v>
      </c>
      <c r="C74" s="112" t="s">
        <v>283</v>
      </c>
      <c r="D74" s="159">
        <v>29</v>
      </c>
    </row>
    <row r="75" spans="1:4" ht="16" customHeight="1">
      <c r="A75" s="111" t="s">
        <v>315</v>
      </c>
      <c r="B75" s="111" t="s">
        <v>280</v>
      </c>
      <c r="C75" s="112" t="s">
        <v>316</v>
      </c>
      <c r="D75" s="159">
        <v>29</v>
      </c>
    </row>
    <row r="76" spans="1:4" ht="16" customHeight="1">
      <c r="A76" s="111" t="s">
        <v>362</v>
      </c>
      <c r="B76" s="111" t="s">
        <v>280</v>
      </c>
      <c r="C76" s="112" t="s">
        <v>363</v>
      </c>
      <c r="D76" s="159">
        <v>1</v>
      </c>
    </row>
    <row r="77" spans="1:4" s="101" customFormat="1" ht="16" customHeight="1">
      <c r="A77" s="108" t="s">
        <v>411</v>
      </c>
      <c r="B77" s="108"/>
      <c r="C77" s="109"/>
      <c r="D77" s="160"/>
    </row>
    <row r="78" spans="1:4" ht="16" customHeight="1">
      <c r="A78" s="111">
        <v>2.1</v>
      </c>
      <c r="B78" s="111" t="s">
        <v>277</v>
      </c>
      <c r="C78" s="112" t="s">
        <v>365</v>
      </c>
      <c r="D78" s="159">
        <v>1588</v>
      </c>
    </row>
    <row r="79" spans="1:4" ht="16" customHeight="1">
      <c r="A79" s="111">
        <v>3.3</v>
      </c>
      <c r="B79" s="111" t="s">
        <v>277</v>
      </c>
      <c r="C79" s="112" t="s">
        <v>292</v>
      </c>
      <c r="D79" s="159">
        <v>411217</v>
      </c>
    </row>
    <row r="80" spans="1:4" ht="16" customHeight="1">
      <c r="A80" s="111">
        <v>4.0999999999999996</v>
      </c>
      <c r="B80" s="111" t="s">
        <v>277</v>
      </c>
      <c r="C80" s="112" t="s">
        <v>293</v>
      </c>
      <c r="D80" s="159">
        <v>2014450</v>
      </c>
    </row>
    <row r="81" spans="1:4" ht="16" customHeight="1">
      <c r="A81" s="111" t="s">
        <v>328</v>
      </c>
      <c r="B81" s="111" t="s">
        <v>280</v>
      </c>
      <c r="C81" s="112" t="s">
        <v>329</v>
      </c>
      <c r="D81" s="159">
        <v>6</v>
      </c>
    </row>
    <row r="82" spans="1:4" ht="16" customHeight="1">
      <c r="A82" s="111" t="s">
        <v>330</v>
      </c>
      <c r="B82" s="111" t="s">
        <v>280</v>
      </c>
      <c r="C82" s="112" t="s">
        <v>331</v>
      </c>
      <c r="D82" s="159">
        <v>2</v>
      </c>
    </row>
    <row r="83" spans="1:4" ht="16" customHeight="1">
      <c r="A83" s="111" t="s">
        <v>295</v>
      </c>
      <c r="B83" s="111" t="s">
        <v>280</v>
      </c>
      <c r="C83" s="112" t="s">
        <v>296</v>
      </c>
      <c r="D83" s="159">
        <v>6</v>
      </c>
    </row>
    <row r="84" spans="1:4" ht="16" customHeight="1">
      <c r="A84" s="111" t="s">
        <v>299</v>
      </c>
      <c r="B84" s="111" t="s">
        <v>280</v>
      </c>
      <c r="C84" s="112" t="s">
        <v>300</v>
      </c>
      <c r="D84" s="159">
        <v>2</v>
      </c>
    </row>
    <row r="85" spans="1:4" ht="16" customHeight="1">
      <c r="A85" s="111" t="s">
        <v>310</v>
      </c>
      <c r="B85" s="111" t="s">
        <v>280</v>
      </c>
      <c r="C85" s="112" t="s">
        <v>311</v>
      </c>
      <c r="D85" s="159">
        <v>462</v>
      </c>
    </row>
    <row r="86" spans="1:4" ht="16" customHeight="1">
      <c r="A86" s="111" t="s">
        <v>288</v>
      </c>
      <c r="B86" s="111" t="s">
        <v>280</v>
      </c>
      <c r="C86" s="112" t="s">
        <v>289</v>
      </c>
      <c r="D86" s="159">
        <v>3</v>
      </c>
    </row>
    <row r="87" spans="1:4" s="101" customFormat="1" ht="16" customHeight="1">
      <c r="A87" s="108" t="s">
        <v>412</v>
      </c>
      <c r="B87" s="108"/>
      <c r="C87" s="109"/>
      <c r="D87" s="160"/>
    </row>
    <row r="88" spans="1:4" ht="16" customHeight="1">
      <c r="A88" s="111" t="s">
        <v>295</v>
      </c>
      <c r="B88" s="111" t="s">
        <v>280</v>
      </c>
      <c r="C88" s="112" t="s">
        <v>296</v>
      </c>
      <c r="D88" s="159">
        <v>1</v>
      </c>
    </row>
    <row r="89" spans="1:4" ht="16" customHeight="1">
      <c r="A89" s="111" t="s">
        <v>360</v>
      </c>
      <c r="B89" s="111" t="s">
        <v>280</v>
      </c>
      <c r="C89" s="112" t="s">
        <v>361</v>
      </c>
      <c r="D89" s="159">
        <v>1</v>
      </c>
    </row>
    <row r="90" spans="1:4" ht="16" customHeight="1">
      <c r="A90" s="111" t="s">
        <v>288</v>
      </c>
      <c r="B90" s="111" t="s">
        <v>280</v>
      </c>
      <c r="C90" s="112" t="s">
        <v>289</v>
      </c>
      <c r="D90" s="159">
        <v>1</v>
      </c>
    </row>
    <row r="91" spans="1:4" ht="16" customHeight="1">
      <c r="A91" s="111" t="s">
        <v>362</v>
      </c>
      <c r="B91" s="111" t="s">
        <v>280</v>
      </c>
      <c r="C91" s="112" t="s">
        <v>363</v>
      </c>
      <c r="D91" s="159">
        <v>2</v>
      </c>
    </row>
    <row r="92" spans="1:4" s="101" customFormat="1" ht="16" customHeight="1">
      <c r="A92" s="108" t="s">
        <v>413</v>
      </c>
      <c r="B92" s="108"/>
      <c r="C92" s="109"/>
      <c r="D92" s="160"/>
    </row>
    <row r="93" spans="1:4" ht="16" customHeight="1">
      <c r="A93" s="111">
        <v>1.2</v>
      </c>
      <c r="B93" s="111" t="s">
        <v>277</v>
      </c>
      <c r="C93" s="112" t="s">
        <v>318</v>
      </c>
      <c r="D93" s="159">
        <v>565007</v>
      </c>
    </row>
    <row r="94" spans="1:4" ht="16" customHeight="1">
      <c r="A94" s="111">
        <v>2.1</v>
      </c>
      <c r="B94" s="111" t="s">
        <v>277</v>
      </c>
      <c r="C94" s="112" t="s">
        <v>365</v>
      </c>
      <c r="D94" s="159">
        <v>204083</v>
      </c>
    </row>
    <row r="95" spans="1:4" ht="16" customHeight="1">
      <c r="A95" s="111">
        <v>2.2999999999999998</v>
      </c>
      <c r="B95" s="111" t="s">
        <v>277</v>
      </c>
      <c r="C95" s="112" t="s">
        <v>366</v>
      </c>
      <c r="D95" s="159">
        <v>3776</v>
      </c>
    </row>
    <row r="96" spans="1:4" ht="16" customHeight="1">
      <c r="A96" s="111">
        <v>5.0999999999999996</v>
      </c>
      <c r="B96" s="111" t="s">
        <v>277</v>
      </c>
      <c r="C96" s="112" t="s">
        <v>343</v>
      </c>
      <c r="D96" s="159">
        <v>1134115</v>
      </c>
    </row>
    <row r="97" spans="1:4" ht="16" customHeight="1">
      <c r="A97" s="111">
        <v>6.2</v>
      </c>
      <c r="B97" s="111" t="s">
        <v>277</v>
      </c>
      <c r="C97" s="112" t="s">
        <v>303</v>
      </c>
      <c r="D97" s="159">
        <v>10</v>
      </c>
    </row>
    <row r="98" spans="1:4" ht="16" customHeight="1">
      <c r="A98" s="111" t="s">
        <v>306</v>
      </c>
      <c r="B98" s="111" t="s">
        <v>280</v>
      </c>
      <c r="C98" s="112" t="s">
        <v>307</v>
      </c>
      <c r="D98" s="159">
        <v>544375</v>
      </c>
    </row>
    <row r="99" spans="1:4" ht="16" customHeight="1">
      <c r="A99" s="111" t="s">
        <v>279</v>
      </c>
      <c r="B99" s="111" t="s">
        <v>280</v>
      </c>
      <c r="C99" s="112" t="s">
        <v>281</v>
      </c>
      <c r="D99" s="159">
        <v>1</v>
      </c>
    </row>
    <row r="100" spans="1:4" ht="16" customHeight="1">
      <c r="A100" s="111" t="s">
        <v>414</v>
      </c>
      <c r="B100" s="111" t="s">
        <v>280</v>
      </c>
      <c r="C100" s="112" t="s">
        <v>415</v>
      </c>
      <c r="D100" s="159">
        <v>2</v>
      </c>
    </row>
    <row r="101" spans="1:4" ht="16" customHeight="1">
      <c r="A101" s="111" t="s">
        <v>282</v>
      </c>
      <c r="B101" s="111" t="s">
        <v>280</v>
      </c>
      <c r="C101" s="112" t="s">
        <v>283</v>
      </c>
      <c r="D101" s="159">
        <v>5</v>
      </c>
    </row>
    <row r="102" spans="1:4" ht="16" customHeight="1">
      <c r="A102" s="111" t="s">
        <v>315</v>
      </c>
      <c r="B102" s="111" t="s">
        <v>280</v>
      </c>
      <c r="C102" s="112" t="s">
        <v>316</v>
      </c>
      <c r="D102" s="159">
        <v>5</v>
      </c>
    </row>
    <row r="103" spans="1:4" s="101" customFormat="1" ht="16" customHeight="1">
      <c r="A103" s="108" t="s">
        <v>416</v>
      </c>
      <c r="B103" s="108"/>
      <c r="C103" s="109"/>
      <c r="D103" s="160"/>
    </row>
    <row r="104" spans="1:4" ht="16" customHeight="1">
      <c r="A104" s="111">
        <v>3.2</v>
      </c>
      <c r="B104" s="111" t="s">
        <v>277</v>
      </c>
      <c r="C104" s="112" t="s">
        <v>417</v>
      </c>
      <c r="D104" s="159">
        <v>42600</v>
      </c>
    </row>
    <row r="105" spans="1:4" ht="16" customHeight="1">
      <c r="A105" s="111" t="s">
        <v>418</v>
      </c>
      <c r="B105" s="111" t="s">
        <v>280</v>
      </c>
      <c r="C105" s="112" t="s">
        <v>419</v>
      </c>
      <c r="D105" s="159">
        <v>199</v>
      </c>
    </row>
    <row r="106" spans="1:4" ht="16" customHeight="1">
      <c r="A106" s="111" t="s">
        <v>310</v>
      </c>
      <c r="B106" s="111" t="s">
        <v>280</v>
      </c>
      <c r="C106" s="112" t="s">
        <v>311</v>
      </c>
      <c r="D106" s="159">
        <v>87</v>
      </c>
    </row>
    <row r="107" spans="1:4" s="101" customFormat="1" ht="16" customHeight="1">
      <c r="A107" s="108" t="s">
        <v>420</v>
      </c>
      <c r="B107" s="108"/>
      <c r="C107" s="109"/>
      <c r="D107" s="160"/>
    </row>
    <row r="108" spans="1:4" ht="16" customHeight="1">
      <c r="A108" s="111">
        <v>1.2</v>
      </c>
      <c r="B108" s="111" t="s">
        <v>277</v>
      </c>
      <c r="C108" s="112" t="s">
        <v>318</v>
      </c>
      <c r="D108" s="159">
        <v>992.72819910868031</v>
      </c>
    </row>
    <row r="109" spans="1:4" ht="16" customHeight="1">
      <c r="A109" s="111">
        <v>2.1</v>
      </c>
      <c r="B109" s="111" t="s">
        <v>277</v>
      </c>
      <c r="C109" s="112" t="s">
        <v>365</v>
      </c>
      <c r="D109" s="159">
        <v>50.404920531524034</v>
      </c>
    </row>
    <row r="110" spans="1:4" ht="16" customHeight="1">
      <c r="A110" s="111" t="s">
        <v>306</v>
      </c>
      <c r="B110" s="111" t="s">
        <v>280</v>
      </c>
      <c r="C110" s="112" t="s">
        <v>307</v>
      </c>
      <c r="D110" s="159">
        <v>68200</v>
      </c>
    </row>
    <row r="111" spans="1:4" ht="16" customHeight="1">
      <c r="A111" s="111" t="s">
        <v>308</v>
      </c>
      <c r="B111" s="111" t="s">
        <v>280</v>
      </c>
      <c r="C111" s="112" t="s">
        <v>309</v>
      </c>
      <c r="D111" s="159">
        <v>1</v>
      </c>
    </row>
    <row r="112" spans="1:4" ht="16" customHeight="1">
      <c r="A112" s="111" t="s">
        <v>282</v>
      </c>
      <c r="B112" s="111" t="s">
        <v>280</v>
      </c>
      <c r="C112" s="112" t="s">
        <v>283</v>
      </c>
      <c r="D112" s="159">
        <v>6</v>
      </c>
    </row>
    <row r="113" spans="1:4" ht="16" customHeight="1">
      <c r="A113" s="111" t="s">
        <v>295</v>
      </c>
      <c r="B113" s="111" t="s">
        <v>280</v>
      </c>
      <c r="C113" s="112" t="s">
        <v>296</v>
      </c>
      <c r="D113" s="159">
        <v>6</v>
      </c>
    </row>
    <row r="114" spans="1:4" s="101" customFormat="1" ht="16" customHeight="1">
      <c r="A114" s="108" t="s">
        <v>421</v>
      </c>
      <c r="B114" s="108"/>
      <c r="C114" s="109"/>
      <c r="D114" s="160"/>
    </row>
    <row r="115" spans="1:4" ht="16" customHeight="1">
      <c r="A115" s="111">
        <v>3.3</v>
      </c>
      <c r="B115" s="111" t="s">
        <v>277</v>
      </c>
      <c r="C115" s="112" t="s">
        <v>292</v>
      </c>
      <c r="D115" s="159">
        <v>540000</v>
      </c>
    </row>
    <row r="116" spans="1:4" ht="16" customHeight="1">
      <c r="A116" s="111">
        <v>4.0999999999999996</v>
      </c>
      <c r="B116" s="111" t="s">
        <v>277</v>
      </c>
      <c r="C116" s="112" t="s">
        <v>293</v>
      </c>
      <c r="D116" s="159">
        <v>990000</v>
      </c>
    </row>
    <row r="117" spans="1:4" ht="16" customHeight="1">
      <c r="A117" s="111" t="s">
        <v>328</v>
      </c>
      <c r="B117" s="111" t="s">
        <v>280</v>
      </c>
      <c r="C117" s="112" t="s">
        <v>329</v>
      </c>
      <c r="D117" s="159">
        <v>1</v>
      </c>
    </row>
    <row r="118" spans="1:4" ht="16" customHeight="1">
      <c r="A118" s="111" t="s">
        <v>286</v>
      </c>
      <c r="B118" s="111" t="s">
        <v>280</v>
      </c>
      <c r="C118" s="112" t="s">
        <v>287</v>
      </c>
      <c r="D118" s="161">
        <v>0</v>
      </c>
    </row>
    <row r="119" spans="1:4" ht="16" customHeight="1">
      <c r="A119" s="111" t="s">
        <v>295</v>
      </c>
      <c r="B119" s="111" t="s">
        <v>280</v>
      </c>
      <c r="C119" s="112" t="s">
        <v>296</v>
      </c>
      <c r="D119" s="159">
        <v>4</v>
      </c>
    </row>
    <row r="120" spans="1:4" ht="16" customHeight="1">
      <c r="A120" s="108" t="s">
        <v>422</v>
      </c>
      <c r="B120" s="108"/>
      <c r="C120" s="109"/>
      <c r="D120" s="160"/>
    </row>
    <row r="121" spans="1:4" ht="16" customHeight="1">
      <c r="A121" s="111">
        <v>3.3</v>
      </c>
      <c r="B121" s="111" t="s">
        <v>277</v>
      </c>
      <c r="C121" s="112" t="s">
        <v>292</v>
      </c>
      <c r="D121" s="159">
        <v>112675</v>
      </c>
    </row>
    <row r="122" spans="1:4" ht="16" customHeight="1">
      <c r="A122" s="111">
        <v>4.0999999999999996</v>
      </c>
      <c r="B122" s="111" t="s">
        <v>277</v>
      </c>
      <c r="C122" s="112" t="s">
        <v>293</v>
      </c>
      <c r="D122" s="159">
        <v>279985</v>
      </c>
    </row>
    <row r="123" spans="1:4" ht="16" customHeight="1">
      <c r="A123" s="111" t="s">
        <v>328</v>
      </c>
      <c r="B123" s="111" t="s">
        <v>280</v>
      </c>
      <c r="C123" s="112" t="s">
        <v>329</v>
      </c>
      <c r="D123" s="159">
        <v>2</v>
      </c>
    </row>
    <row r="124" spans="1:4" ht="16" customHeight="1">
      <c r="A124" s="111" t="s">
        <v>286</v>
      </c>
      <c r="B124" s="111" t="s">
        <v>280</v>
      </c>
      <c r="C124" s="112" t="s">
        <v>287</v>
      </c>
      <c r="D124" s="159">
        <v>6</v>
      </c>
    </row>
    <row r="125" spans="1:4" ht="16" customHeight="1">
      <c r="A125" s="111" t="s">
        <v>295</v>
      </c>
      <c r="B125" s="111" t="s">
        <v>280</v>
      </c>
      <c r="C125" s="112" t="s">
        <v>296</v>
      </c>
      <c r="D125" s="159">
        <v>43</v>
      </c>
    </row>
    <row r="126" spans="1:4" s="100" customFormat="1" ht="15" customHeight="1">
      <c r="A126" s="105" t="s">
        <v>332</v>
      </c>
      <c r="B126" s="105"/>
      <c r="C126" s="106"/>
      <c r="D126" s="138"/>
    </row>
    <row r="127" spans="1:4" s="101" customFormat="1" ht="15" customHeight="1">
      <c r="A127" s="108" t="s">
        <v>423</v>
      </c>
      <c r="B127" s="108"/>
      <c r="C127" s="109"/>
      <c r="D127" s="137"/>
    </row>
    <row r="128" spans="1:4" ht="15" customHeight="1">
      <c r="A128" s="111">
        <v>6.2</v>
      </c>
      <c r="B128" s="111" t="s">
        <v>277</v>
      </c>
      <c r="C128" s="112" t="s">
        <v>303</v>
      </c>
      <c r="D128" s="136">
        <v>1</v>
      </c>
    </row>
    <row r="129" spans="1:4" ht="15" customHeight="1">
      <c r="A129" s="111" t="s">
        <v>344</v>
      </c>
      <c r="B129" s="111" t="s">
        <v>280</v>
      </c>
      <c r="C129" s="112" t="s">
        <v>345</v>
      </c>
      <c r="D129" s="159">
        <v>21666</v>
      </c>
    </row>
    <row r="130" spans="1:4" s="101" customFormat="1" ht="15" customHeight="1">
      <c r="A130" s="108" t="s">
        <v>424</v>
      </c>
      <c r="B130" s="108"/>
      <c r="C130" s="109"/>
      <c r="D130" s="160"/>
    </row>
    <row r="131" spans="1:4" ht="15" customHeight="1">
      <c r="A131" s="111">
        <v>1.2</v>
      </c>
      <c r="B131" s="111" t="s">
        <v>277</v>
      </c>
      <c r="C131" s="112" t="s">
        <v>318</v>
      </c>
      <c r="D131" s="159">
        <v>5720</v>
      </c>
    </row>
    <row r="132" spans="1:4" ht="15" customHeight="1">
      <c r="A132" s="111">
        <v>3.1</v>
      </c>
      <c r="B132" s="111" t="s">
        <v>277</v>
      </c>
      <c r="C132" s="112" t="s">
        <v>319</v>
      </c>
      <c r="D132" s="159">
        <v>3600000</v>
      </c>
    </row>
    <row r="133" spans="1:4" ht="15" customHeight="1">
      <c r="A133" s="111" t="s">
        <v>414</v>
      </c>
      <c r="B133" s="111" t="s">
        <v>280</v>
      </c>
      <c r="C133" s="112" t="s">
        <v>415</v>
      </c>
      <c r="D133" s="159">
        <v>1</v>
      </c>
    </row>
    <row r="134" spans="1:4" s="101" customFormat="1" ht="15" customHeight="1">
      <c r="A134" s="108" t="s">
        <v>425</v>
      </c>
      <c r="B134" s="108"/>
      <c r="C134" s="109"/>
      <c r="D134" s="160"/>
    </row>
    <row r="135" spans="1:4" ht="15" customHeight="1">
      <c r="A135" s="111">
        <v>2.1</v>
      </c>
      <c r="B135" s="111" t="s">
        <v>277</v>
      </c>
      <c r="C135" s="112" t="s">
        <v>365</v>
      </c>
      <c r="D135" s="159">
        <v>1673</v>
      </c>
    </row>
    <row r="136" spans="1:4" ht="15" customHeight="1">
      <c r="A136" s="111">
        <v>6.2</v>
      </c>
      <c r="B136" s="111" t="s">
        <v>277</v>
      </c>
      <c r="C136" s="112" t="s">
        <v>303</v>
      </c>
      <c r="D136" s="161">
        <v>0</v>
      </c>
    </row>
    <row r="137" spans="1:4" ht="15" customHeight="1">
      <c r="A137" s="111" t="s">
        <v>320</v>
      </c>
      <c r="B137" s="111" t="s">
        <v>280</v>
      </c>
      <c r="C137" s="112" t="s">
        <v>321</v>
      </c>
      <c r="D137" s="159">
        <v>15816</v>
      </c>
    </row>
    <row r="138" spans="1:4" ht="15" customHeight="1">
      <c r="A138" s="111" t="s">
        <v>426</v>
      </c>
      <c r="B138" s="111" t="s">
        <v>280</v>
      </c>
      <c r="C138" s="112" t="s">
        <v>427</v>
      </c>
      <c r="D138" s="159">
        <v>215</v>
      </c>
    </row>
    <row r="139" spans="1:4" s="101" customFormat="1" ht="15" customHeight="1">
      <c r="A139" s="108" t="s">
        <v>428</v>
      </c>
      <c r="B139" s="108"/>
      <c r="C139" s="109"/>
      <c r="D139" s="160"/>
    </row>
    <row r="140" spans="1:4" ht="15" customHeight="1">
      <c r="A140" s="111">
        <v>2.2000000000000002</v>
      </c>
      <c r="B140" s="111" t="s">
        <v>277</v>
      </c>
      <c r="C140" s="112" t="s">
        <v>342</v>
      </c>
      <c r="D140" s="159">
        <v>9161198</v>
      </c>
    </row>
    <row r="141" spans="1:4" ht="15" customHeight="1">
      <c r="A141" s="111" t="s">
        <v>429</v>
      </c>
      <c r="B141" s="111" t="s">
        <v>280</v>
      </c>
      <c r="C141" s="112" t="s">
        <v>430</v>
      </c>
      <c r="D141" s="159">
        <v>1</v>
      </c>
    </row>
    <row r="142" spans="1:4" ht="15" customHeight="1">
      <c r="A142" s="111" t="s">
        <v>335</v>
      </c>
      <c r="B142" s="111" t="s">
        <v>280</v>
      </c>
      <c r="C142" s="112" t="s">
        <v>336</v>
      </c>
      <c r="D142" s="159">
        <v>5</v>
      </c>
    </row>
    <row r="143" spans="1:4" ht="15" customHeight="1">
      <c r="A143" s="111" t="s">
        <v>339</v>
      </c>
      <c r="B143" s="111" t="s">
        <v>280</v>
      </c>
      <c r="C143" s="112" t="s">
        <v>340</v>
      </c>
      <c r="D143" s="159">
        <v>9161198</v>
      </c>
    </row>
    <row r="144" spans="1:4" s="101" customFormat="1" ht="15" customHeight="1">
      <c r="A144" s="108" t="s">
        <v>431</v>
      </c>
      <c r="B144" s="108"/>
      <c r="C144" s="109"/>
      <c r="D144" s="160"/>
    </row>
    <row r="145" spans="1:4" ht="15" customHeight="1">
      <c r="A145" s="111">
        <v>1.2</v>
      </c>
      <c r="B145" s="111" t="s">
        <v>277</v>
      </c>
      <c r="C145" s="112" t="s">
        <v>318</v>
      </c>
      <c r="D145" s="159">
        <v>772</v>
      </c>
    </row>
    <row r="146" spans="1:4" ht="15" customHeight="1">
      <c r="A146" s="111">
        <v>6.1</v>
      </c>
      <c r="B146" s="111" t="s">
        <v>277</v>
      </c>
      <c r="C146" s="112" t="s">
        <v>334</v>
      </c>
      <c r="D146" s="161">
        <v>0</v>
      </c>
    </row>
    <row r="147" spans="1:4" s="101" customFormat="1" ht="15" customHeight="1">
      <c r="A147" s="108" t="s">
        <v>432</v>
      </c>
      <c r="B147" s="108"/>
      <c r="C147" s="109"/>
      <c r="D147" s="160"/>
    </row>
    <row r="148" spans="1:4" ht="15" customHeight="1">
      <c r="A148" s="111">
        <v>1.2</v>
      </c>
      <c r="B148" s="111" t="s">
        <v>277</v>
      </c>
      <c r="C148" s="112" t="s">
        <v>318</v>
      </c>
      <c r="D148" s="159">
        <v>4079</v>
      </c>
    </row>
    <row r="149" spans="1:4" ht="15" customHeight="1">
      <c r="A149" s="111">
        <v>3.1</v>
      </c>
      <c r="B149" s="111" t="s">
        <v>277</v>
      </c>
      <c r="C149" s="112" t="s">
        <v>319</v>
      </c>
      <c r="D149" s="159">
        <v>669036</v>
      </c>
    </row>
    <row r="150" spans="1:4" ht="15" customHeight="1">
      <c r="A150" s="111" t="s">
        <v>326</v>
      </c>
      <c r="B150" s="111" t="s">
        <v>280</v>
      </c>
      <c r="C150" s="112" t="s">
        <v>327</v>
      </c>
      <c r="D150" s="159">
        <v>1</v>
      </c>
    </row>
    <row r="151" spans="1:4" ht="15" customHeight="1">
      <c r="A151" s="111" t="s">
        <v>313</v>
      </c>
      <c r="B151" s="111" t="s">
        <v>280</v>
      </c>
      <c r="C151" s="112" t="s">
        <v>314</v>
      </c>
      <c r="D151" s="159">
        <v>250</v>
      </c>
    </row>
    <row r="152" spans="1:4" s="101" customFormat="1" ht="15" customHeight="1">
      <c r="A152" s="108" t="s">
        <v>433</v>
      </c>
      <c r="B152" s="108"/>
      <c r="C152" s="109"/>
      <c r="D152" s="160"/>
    </row>
    <row r="153" spans="1:4" ht="15" customHeight="1">
      <c r="A153" s="111">
        <v>1.2</v>
      </c>
      <c r="B153" s="111" t="s">
        <v>277</v>
      </c>
      <c r="C153" s="112" t="s">
        <v>318</v>
      </c>
      <c r="D153" s="159">
        <v>500</v>
      </c>
    </row>
    <row r="154" spans="1:4" ht="15" customHeight="1">
      <c r="A154" s="111">
        <v>3.1</v>
      </c>
      <c r="B154" s="111" t="s">
        <v>277</v>
      </c>
      <c r="C154" s="112" t="s">
        <v>319</v>
      </c>
      <c r="D154" s="159">
        <v>83000</v>
      </c>
    </row>
    <row r="155" spans="1:4" ht="15" customHeight="1">
      <c r="A155" s="111" t="s">
        <v>326</v>
      </c>
      <c r="B155" s="111" t="s">
        <v>280</v>
      </c>
      <c r="C155" s="112" t="s">
        <v>327</v>
      </c>
      <c r="D155" s="161">
        <v>0</v>
      </c>
    </row>
    <row r="156" spans="1:4" ht="15" customHeight="1">
      <c r="A156" s="111" t="s">
        <v>313</v>
      </c>
      <c r="B156" s="111" t="s">
        <v>280</v>
      </c>
      <c r="C156" s="112" t="s">
        <v>314</v>
      </c>
      <c r="D156" s="161">
        <v>0</v>
      </c>
    </row>
    <row r="157" spans="1:4" s="101" customFormat="1" ht="15" customHeight="1">
      <c r="A157" s="108" t="s">
        <v>434</v>
      </c>
      <c r="B157" s="108"/>
      <c r="C157" s="109"/>
      <c r="D157" s="160"/>
    </row>
    <row r="158" spans="1:4" ht="15" customHeight="1">
      <c r="A158" s="111">
        <v>3.1</v>
      </c>
      <c r="B158" s="111" t="s">
        <v>277</v>
      </c>
      <c r="C158" s="112" t="s">
        <v>319</v>
      </c>
      <c r="D158" s="159">
        <v>1150.14375</v>
      </c>
    </row>
    <row r="159" spans="1:4" ht="15" customHeight="1">
      <c r="A159" s="111">
        <v>5.0999999999999996</v>
      </c>
      <c r="B159" s="111" t="s">
        <v>277</v>
      </c>
      <c r="C159" s="112" t="s">
        <v>343</v>
      </c>
      <c r="D159" s="159">
        <v>415000</v>
      </c>
    </row>
    <row r="160" spans="1:4" ht="15" customHeight="1">
      <c r="A160" s="111" t="s">
        <v>306</v>
      </c>
      <c r="B160" s="111" t="s">
        <v>280</v>
      </c>
      <c r="C160" s="112" t="s">
        <v>307</v>
      </c>
      <c r="D160" s="159">
        <v>2217</v>
      </c>
    </row>
    <row r="161" spans="1:4" ht="15" customHeight="1">
      <c r="A161" s="111" t="s">
        <v>313</v>
      </c>
      <c r="B161" s="111" t="s">
        <v>280</v>
      </c>
      <c r="C161" s="112" t="s">
        <v>314</v>
      </c>
      <c r="D161" s="159">
        <v>10</v>
      </c>
    </row>
    <row r="162" spans="1:4" ht="15" customHeight="1">
      <c r="A162" s="111" t="s">
        <v>414</v>
      </c>
      <c r="B162" s="111" t="s">
        <v>280</v>
      </c>
      <c r="C162" s="112" t="s">
        <v>415</v>
      </c>
      <c r="D162" s="161">
        <v>0</v>
      </c>
    </row>
    <row r="163" spans="1:4" s="100" customFormat="1" ht="15" customHeight="1">
      <c r="A163" s="105" t="s">
        <v>349</v>
      </c>
      <c r="B163" s="105"/>
      <c r="C163" s="114"/>
      <c r="D163" s="139"/>
    </row>
    <row r="164" spans="1:4" ht="15" customHeight="1">
      <c r="A164" s="115" t="s">
        <v>435</v>
      </c>
      <c r="B164" s="111"/>
      <c r="C164" s="116"/>
      <c r="D164" s="140"/>
    </row>
    <row r="165" spans="1:4" ht="15" customHeight="1">
      <c r="A165" s="118" t="s">
        <v>436</v>
      </c>
      <c r="B165" s="111" t="s">
        <v>280</v>
      </c>
      <c r="C165" s="116" t="s">
        <v>437</v>
      </c>
      <c r="D165" s="140">
        <v>32</v>
      </c>
    </row>
    <row r="166" spans="1:4" ht="15" customHeight="1">
      <c r="A166" s="118" t="s">
        <v>438</v>
      </c>
      <c r="B166" s="111" t="s">
        <v>280</v>
      </c>
      <c r="C166" s="116" t="s">
        <v>439</v>
      </c>
      <c r="D166" s="151">
        <v>2</v>
      </c>
    </row>
    <row r="167" spans="1:4" ht="15" customHeight="1">
      <c r="A167" s="118" t="s">
        <v>440</v>
      </c>
      <c r="B167" s="111" t="s">
        <v>280</v>
      </c>
      <c r="C167" s="116" t="s">
        <v>441</v>
      </c>
      <c r="D167" s="151">
        <v>2</v>
      </c>
    </row>
    <row r="168" spans="1:4" ht="15" customHeight="1">
      <c r="A168" s="118" t="s">
        <v>282</v>
      </c>
      <c r="B168" s="111" t="s">
        <v>280</v>
      </c>
      <c r="C168" s="116" t="s">
        <v>283</v>
      </c>
      <c r="D168" s="161">
        <v>0</v>
      </c>
    </row>
    <row r="169" spans="1:4" ht="15" customHeight="1">
      <c r="A169" s="118" t="s">
        <v>284</v>
      </c>
      <c r="B169" s="111" t="s">
        <v>280</v>
      </c>
      <c r="C169" s="116" t="s">
        <v>285</v>
      </c>
      <c r="D169" s="151">
        <v>3</v>
      </c>
    </row>
    <row r="170" spans="1:4" ht="15" customHeight="1">
      <c r="A170" s="118" t="s">
        <v>310</v>
      </c>
      <c r="B170" s="111" t="s">
        <v>280</v>
      </c>
      <c r="C170" s="116" t="s">
        <v>311</v>
      </c>
      <c r="D170" s="151">
        <v>122</v>
      </c>
    </row>
    <row r="171" spans="1:4" s="101" customFormat="1" ht="15" customHeight="1">
      <c r="A171" s="115" t="s">
        <v>442</v>
      </c>
      <c r="B171" s="108"/>
      <c r="C171" s="119"/>
      <c r="D171" s="157"/>
    </row>
    <row r="172" spans="1:4" ht="15" customHeight="1">
      <c r="A172" s="118" t="s">
        <v>310</v>
      </c>
      <c r="B172" s="111" t="s">
        <v>280</v>
      </c>
      <c r="C172" s="116" t="s">
        <v>311</v>
      </c>
      <c r="D172" s="151">
        <v>400</v>
      </c>
    </row>
    <row r="173" spans="1:4" ht="15" customHeight="1">
      <c r="A173" s="118" t="s">
        <v>377</v>
      </c>
      <c r="B173" s="111" t="s">
        <v>280</v>
      </c>
      <c r="C173" s="116" t="s">
        <v>378</v>
      </c>
      <c r="D173" s="151">
        <v>1</v>
      </c>
    </row>
  </sheetData>
  <hyperlinks>
    <hyperlink ref="A4" r:id="rId1" xr:uid="{33707168-41E5-3B45-BC24-868AFD29B129}"/>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E0A3-61F2-134A-8870-9FBB1AA9360E}">
  <dimension ref="A1:D209"/>
  <sheetViews>
    <sheetView zoomScale="135" workbookViewId="0"/>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443</v>
      </c>
      <c r="B2" s="94"/>
      <c r="C2" s="95"/>
      <c r="D2" s="96"/>
    </row>
    <row r="3" spans="1:4">
      <c r="A3" s="103" t="s">
        <v>269</v>
      </c>
      <c r="B3" s="94"/>
      <c r="C3" s="95"/>
      <c r="D3" s="96"/>
    </row>
    <row r="4" spans="1:4">
      <c r="A4" s="90" t="s">
        <v>444</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445</v>
      </c>
      <c r="B8" s="108"/>
      <c r="C8" s="109"/>
      <c r="D8" s="137"/>
    </row>
    <row r="9" spans="1:4" ht="16" customHeight="1">
      <c r="A9" s="111">
        <v>3.1</v>
      </c>
      <c r="B9" s="111" t="s">
        <v>277</v>
      </c>
      <c r="C9" s="112" t="s">
        <v>319</v>
      </c>
      <c r="D9" s="136">
        <v>12907</v>
      </c>
    </row>
    <row r="10" spans="1:4" ht="16" customHeight="1">
      <c r="A10" s="111">
        <v>6.2</v>
      </c>
      <c r="B10" s="111" t="s">
        <v>277</v>
      </c>
      <c r="C10" s="112" t="s">
        <v>303</v>
      </c>
      <c r="D10" s="159">
        <v>3</v>
      </c>
    </row>
    <row r="11" spans="1:4" ht="16" customHeight="1">
      <c r="A11" s="111" t="s">
        <v>326</v>
      </c>
      <c r="B11" s="111" t="s">
        <v>280</v>
      </c>
      <c r="C11" s="112" t="s">
        <v>327</v>
      </c>
      <c r="D11" s="159">
        <v>1</v>
      </c>
    </row>
    <row r="12" spans="1:4" ht="16" customHeight="1">
      <c r="A12" s="111" t="s">
        <v>313</v>
      </c>
      <c r="B12" s="111" t="s">
        <v>280</v>
      </c>
      <c r="C12" s="112" t="s">
        <v>314</v>
      </c>
      <c r="D12" s="159">
        <v>20.100000000000001</v>
      </c>
    </row>
    <row r="13" spans="1:4" ht="16" customHeight="1">
      <c r="A13" s="111" t="s">
        <v>414</v>
      </c>
      <c r="B13" s="111" t="s">
        <v>280</v>
      </c>
      <c r="C13" s="112" t="s">
        <v>415</v>
      </c>
      <c r="D13" s="159">
        <v>1</v>
      </c>
    </row>
    <row r="14" spans="1:4" ht="16" customHeight="1">
      <c r="A14" s="111" t="s">
        <v>315</v>
      </c>
      <c r="B14" s="111" t="s">
        <v>280</v>
      </c>
      <c r="C14" s="112" t="s">
        <v>316</v>
      </c>
      <c r="D14" s="159">
        <v>2</v>
      </c>
    </row>
    <row r="15" spans="1:4" s="101" customFormat="1" ht="16" customHeight="1">
      <c r="A15" s="108" t="s">
        <v>446</v>
      </c>
      <c r="B15" s="108"/>
      <c r="C15" s="109"/>
      <c r="D15" s="160"/>
    </row>
    <row r="16" spans="1:4" ht="16" customHeight="1">
      <c r="A16" s="111">
        <v>3.1</v>
      </c>
      <c r="B16" s="111" t="s">
        <v>277</v>
      </c>
      <c r="C16" s="112" t="s">
        <v>319</v>
      </c>
      <c r="D16" s="159">
        <v>9884</v>
      </c>
    </row>
    <row r="17" spans="1:4" ht="16" customHeight="1">
      <c r="A17" s="111">
        <v>4.0999999999999996</v>
      </c>
      <c r="B17" s="111" t="s">
        <v>277</v>
      </c>
      <c r="C17" s="112" t="s">
        <v>293</v>
      </c>
      <c r="D17" s="159">
        <v>2082422.4</v>
      </c>
    </row>
    <row r="18" spans="1:4" ht="16" customHeight="1">
      <c r="A18" s="111">
        <v>5.0999999999999996</v>
      </c>
      <c r="B18" s="111" t="s">
        <v>277</v>
      </c>
      <c r="C18" s="112" t="s">
        <v>343</v>
      </c>
      <c r="D18" s="159">
        <v>2082422.4</v>
      </c>
    </row>
    <row r="19" spans="1:4" ht="16" customHeight="1">
      <c r="A19" s="111">
        <v>6.1</v>
      </c>
      <c r="B19" s="111" t="s">
        <v>277</v>
      </c>
      <c r="C19" s="112" t="s">
        <v>334</v>
      </c>
      <c r="D19" s="159">
        <v>1</v>
      </c>
    </row>
    <row r="20" spans="1:4" ht="16" customHeight="1">
      <c r="A20" s="111" t="s">
        <v>304</v>
      </c>
      <c r="B20" s="111" t="s">
        <v>280</v>
      </c>
      <c r="C20" s="112" t="s">
        <v>305</v>
      </c>
      <c r="D20" s="159">
        <v>2</v>
      </c>
    </row>
    <row r="21" spans="1:4" s="101" customFormat="1" ht="16" customHeight="1">
      <c r="A21" s="108" t="s">
        <v>447</v>
      </c>
      <c r="B21" s="108"/>
      <c r="C21" s="109"/>
      <c r="D21" s="160"/>
    </row>
    <row r="22" spans="1:4" ht="16" customHeight="1">
      <c r="A22" s="111">
        <v>1.1000000000000001</v>
      </c>
      <c r="B22" s="111" t="s">
        <v>277</v>
      </c>
      <c r="C22" s="112" t="s">
        <v>471</v>
      </c>
      <c r="D22" s="159">
        <v>206000000</v>
      </c>
    </row>
    <row r="23" spans="1:4" ht="16" customHeight="1">
      <c r="A23" s="111">
        <v>1.2</v>
      </c>
      <c r="B23" s="111" t="s">
        <v>277</v>
      </c>
      <c r="C23" s="112" t="s">
        <v>318</v>
      </c>
      <c r="D23" s="159">
        <v>7551944.444444444</v>
      </c>
    </row>
    <row r="24" spans="1:4" ht="16" customHeight="1">
      <c r="A24" s="111">
        <v>2.2000000000000002</v>
      </c>
      <c r="B24" s="111" t="s">
        <v>277</v>
      </c>
      <c r="C24" s="112" t="s">
        <v>342</v>
      </c>
      <c r="D24" s="159">
        <v>38067</v>
      </c>
    </row>
    <row r="25" spans="1:4" ht="16" customHeight="1">
      <c r="A25" s="111">
        <v>6.2</v>
      </c>
      <c r="B25" s="111" t="s">
        <v>277</v>
      </c>
      <c r="C25" s="112" t="s">
        <v>303</v>
      </c>
      <c r="D25" s="159">
        <v>8</v>
      </c>
    </row>
    <row r="26" spans="1:4" ht="16" customHeight="1">
      <c r="A26" s="111">
        <v>7.3</v>
      </c>
      <c r="B26" s="111" t="s">
        <v>277</v>
      </c>
      <c r="C26" s="112" t="s">
        <v>472</v>
      </c>
      <c r="D26" s="159">
        <v>1</v>
      </c>
    </row>
    <row r="27" spans="1:4" ht="16" customHeight="1">
      <c r="A27" s="111" t="s">
        <v>320</v>
      </c>
      <c r="B27" s="111" t="s">
        <v>280</v>
      </c>
      <c r="C27" s="112" t="s">
        <v>321</v>
      </c>
      <c r="D27" s="159">
        <v>794569</v>
      </c>
    </row>
    <row r="28" spans="1:4" ht="16" customHeight="1">
      <c r="A28" s="111" t="s">
        <v>373</v>
      </c>
      <c r="B28" s="111" t="s">
        <v>280</v>
      </c>
      <c r="C28" s="112" t="s">
        <v>374</v>
      </c>
      <c r="D28" s="159">
        <v>3</v>
      </c>
    </row>
    <row r="29" spans="1:4" ht="16" customHeight="1">
      <c r="A29" s="111" t="s">
        <v>375</v>
      </c>
      <c r="B29" s="111" t="s">
        <v>280</v>
      </c>
      <c r="C29" s="112" t="s">
        <v>376</v>
      </c>
      <c r="D29" s="159">
        <v>8</v>
      </c>
    </row>
    <row r="30" spans="1:4" ht="16" customHeight="1">
      <c r="A30" s="111" t="s">
        <v>448</v>
      </c>
      <c r="B30" s="111" t="s">
        <v>280</v>
      </c>
      <c r="C30" s="112" t="s">
        <v>473</v>
      </c>
      <c r="D30" s="159">
        <v>1</v>
      </c>
    </row>
    <row r="31" spans="1:4" ht="16" customHeight="1">
      <c r="A31" s="111" t="s">
        <v>368</v>
      </c>
      <c r="B31" s="111" t="s">
        <v>280</v>
      </c>
      <c r="C31" s="112" t="s">
        <v>369</v>
      </c>
      <c r="D31" s="159">
        <v>5</v>
      </c>
    </row>
    <row r="32" spans="1:4" ht="16" customHeight="1">
      <c r="A32" s="111" t="s">
        <v>310</v>
      </c>
      <c r="B32" s="111" t="s">
        <v>280</v>
      </c>
      <c r="C32" s="112" t="s">
        <v>311</v>
      </c>
      <c r="D32" s="159">
        <v>794569</v>
      </c>
    </row>
    <row r="33" spans="1:4" ht="16" customHeight="1">
      <c r="A33" s="111" t="s">
        <v>449</v>
      </c>
      <c r="B33" s="111" t="s">
        <v>280</v>
      </c>
      <c r="C33" s="112" t="s">
        <v>474</v>
      </c>
      <c r="D33" s="159">
        <v>4</v>
      </c>
    </row>
    <row r="34" spans="1:4" s="101" customFormat="1" ht="16" customHeight="1">
      <c r="A34" s="108" t="s">
        <v>450</v>
      </c>
      <c r="B34" s="108"/>
      <c r="C34" s="109"/>
      <c r="D34" s="160"/>
    </row>
    <row r="35" spans="1:4" ht="16" customHeight="1">
      <c r="A35" s="111">
        <v>3.1</v>
      </c>
      <c r="B35" s="111" t="s">
        <v>277</v>
      </c>
      <c r="C35" s="112" t="s">
        <v>319</v>
      </c>
      <c r="D35" s="159">
        <v>296545</v>
      </c>
    </row>
    <row r="36" spans="1:4" ht="16" customHeight="1">
      <c r="A36" s="111">
        <v>6.2</v>
      </c>
      <c r="B36" s="111" t="s">
        <v>277</v>
      </c>
      <c r="C36" s="112" t="s">
        <v>303</v>
      </c>
      <c r="D36" s="159">
        <v>1</v>
      </c>
    </row>
    <row r="37" spans="1:4" ht="16" customHeight="1">
      <c r="A37" s="111" t="s">
        <v>436</v>
      </c>
      <c r="B37" s="111" t="s">
        <v>280</v>
      </c>
      <c r="C37" s="112" t="s">
        <v>437</v>
      </c>
      <c r="D37" s="159">
        <v>11</v>
      </c>
    </row>
    <row r="38" spans="1:4" ht="16" customHeight="1">
      <c r="A38" s="111" t="s">
        <v>326</v>
      </c>
      <c r="B38" s="111" t="s">
        <v>280</v>
      </c>
      <c r="C38" s="112" t="s">
        <v>327</v>
      </c>
      <c r="D38" s="159">
        <v>1</v>
      </c>
    </row>
    <row r="39" spans="1:4" ht="16" customHeight="1">
      <c r="A39" s="111" t="s">
        <v>313</v>
      </c>
      <c r="B39" s="111" t="s">
        <v>280</v>
      </c>
      <c r="C39" s="112" t="s">
        <v>314</v>
      </c>
      <c r="D39" s="159">
        <v>111</v>
      </c>
    </row>
    <row r="40" spans="1:4" ht="16" customHeight="1">
      <c r="A40" s="111" t="s">
        <v>315</v>
      </c>
      <c r="B40" s="111" t="s">
        <v>280</v>
      </c>
      <c r="C40" s="112" t="s">
        <v>316</v>
      </c>
      <c r="D40" s="159">
        <v>1</v>
      </c>
    </row>
    <row r="41" spans="1:4" ht="16" customHeight="1">
      <c r="A41" s="111" t="s">
        <v>310</v>
      </c>
      <c r="B41" s="111" t="s">
        <v>280</v>
      </c>
      <c r="C41" s="112" t="s">
        <v>311</v>
      </c>
      <c r="D41" s="159">
        <v>11</v>
      </c>
    </row>
    <row r="42" spans="1:4" ht="16" customHeight="1">
      <c r="A42" s="111" t="s">
        <v>451</v>
      </c>
      <c r="B42" s="111" t="s">
        <v>280</v>
      </c>
      <c r="C42" s="112" t="s">
        <v>475</v>
      </c>
      <c r="D42" s="159">
        <v>1</v>
      </c>
    </row>
    <row r="43" spans="1:4" s="101" customFormat="1" ht="16" customHeight="1">
      <c r="A43" s="108" t="s">
        <v>452</v>
      </c>
      <c r="B43" s="108"/>
      <c r="C43" s="109"/>
      <c r="D43" s="160"/>
    </row>
    <row r="44" spans="1:4" ht="16" customHeight="1">
      <c r="A44" s="111">
        <v>2.2999999999999998</v>
      </c>
      <c r="B44" s="111" t="s">
        <v>277</v>
      </c>
      <c r="C44" s="112" t="s">
        <v>366</v>
      </c>
      <c r="D44" s="159">
        <v>80</v>
      </c>
    </row>
    <row r="45" spans="1:4" ht="16" customHeight="1">
      <c r="A45" s="111" t="s">
        <v>320</v>
      </c>
      <c r="B45" s="111" t="s">
        <v>280</v>
      </c>
      <c r="C45" s="112" t="s">
        <v>321</v>
      </c>
      <c r="D45" s="159">
        <v>13241</v>
      </c>
    </row>
    <row r="46" spans="1:4" ht="16" customHeight="1">
      <c r="A46" s="111" t="s">
        <v>322</v>
      </c>
      <c r="B46" s="111" t="s">
        <v>280</v>
      </c>
      <c r="C46" s="112" t="s">
        <v>323</v>
      </c>
      <c r="D46" s="159">
        <v>5496</v>
      </c>
    </row>
    <row r="47" spans="1:4" ht="16" customHeight="1">
      <c r="A47" s="111" t="s">
        <v>440</v>
      </c>
      <c r="B47" s="111" t="s">
        <v>280</v>
      </c>
      <c r="C47" s="112" t="s">
        <v>441</v>
      </c>
      <c r="D47" s="159">
        <v>0</v>
      </c>
    </row>
    <row r="48" spans="1:4" ht="16" customHeight="1">
      <c r="A48" s="111" t="s">
        <v>315</v>
      </c>
      <c r="B48" s="111" t="s">
        <v>280</v>
      </c>
      <c r="C48" s="112" t="s">
        <v>316</v>
      </c>
      <c r="D48" s="159">
        <v>3</v>
      </c>
    </row>
    <row r="49" spans="1:4" ht="16" customHeight="1">
      <c r="A49" s="111" t="s">
        <v>310</v>
      </c>
      <c r="B49" s="111" t="s">
        <v>280</v>
      </c>
      <c r="C49" s="112" t="s">
        <v>311</v>
      </c>
      <c r="D49" s="159">
        <v>996</v>
      </c>
    </row>
    <row r="50" spans="1:4" ht="16" customHeight="1">
      <c r="A50" s="111" t="s">
        <v>370</v>
      </c>
      <c r="B50" s="111" t="s">
        <v>280</v>
      </c>
      <c r="C50" s="112" t="s">
        <v>371</v>
      </c>
      <c r="D50" s="159">
        <v>1</v>
      </c>
    </row>
    <row r="51" spans="1:4" s="101" customFormat="1" ht="16" customHeight="1">
      <c r="A51" s="108" t="s">
        <v>453</v>
      </c>
      <c r="B51" s="108"/>
      <c r="C51" s="109"/>
      <c r="D51" s="160"/>
    </row>
    <row r="52" spans="1:4" ht="16" customHeight="1">
      <c r="A52" s="111">
        <v>2.4</v>
      </c>
      <c r="B52" s="111" t="s">
        <v>277</v>
      </c>
      <c r="C52" s="112" t="s">
        <v>302</v>
      </c>
      <c r="D52" s="159">
        <v>49125.075560187601</v>
      </c>
    </row>
    <row r="53" spans="1:4" ht="16" customHeight="1">
      <c r="A53" s="111">
        <v>5.0999999999999996</v>
      </c>
      <c r="B53" s="111" t="s">
        <v>277</v>
      </c>
      <c r="C53" s="112" t="s">
        <v>343</v>
      </c>
      <c r="D53" s="159">
        <v>9000000</v>
      </c>
    </row>
    <row r="54" spans="1:4" ht="16" customHeight="1">
      <c r="A54" s="111">
        <v>6.2</v>
      </c>
      <c r="B54" s="111" t="s">
        <v>277</v>
      </c>
      <c r="C54" s="112" t="s">
        <v>303</v>
      </c>
      <c r="D54" s="159">
        <v>3</v>
      </c>
    </row>
    <row r="55" spans="1:4" ht="16" customHeight="1">
      <c r="A55" s="111" t="s">
        <v>322</v>
      </c>
      <c r="B55" s="111" t="s">
        <v>280</v>
      </c>
      <c r="C55" s="112" t="s">
        <v>323</v>
      </c>
      <c r="D55" s="159">
        <v>21023</v>
      </c>
    </row>
    <row r="56" spans="1:4" ht="16" customHeight="1">
      <c r="A56" s="111" t="s">
        <v>448</v>
      </c>
      <c r="B56" s="111" t="s">
        <v>280</v>
      </c>
      <c r="C56" s="112" t="s">
        <v>473</v>
      </c>
      <c r="D56" s="159">
        <v>1</v>
      </c>
    </row>
    <row r="57" spans="1:4" ht="16" customHeight="1">
      <c r="A57" s="111" t="s">
        <v>454</v>
      </c>
      <c r="B57" s="111" t="s">
        <v>280</v>
      </c>
      <c r="C57" s="112" t="s">
        <v>476</v>
      </c>
      <c r="D57" s="159">
        <v>19916296.296296299</v>
      </c>
    </row>
    <row r="58" spans="1:4" s="101" customFormat="1" ht="16" customHeight="1">
      <c r="A58" s="108" t="s">
        <v>455</v>
      </c>
      <c r="B58" s="108"/>
      <c r="C58" s="109"/>
      <c r="D58" s="160"/>
    </row>
    <row r="59" spans="1:4" ht="16" customHeight="1">
      <c r="A59" s="111">
        <v>3.1</v>
      </c>
      <c r="B59" s="111" t="s">
        <v>277</v>
      </c>
      <c r="C59" s="112" t="s">
        <v>319</v>
      </c>
      <c r="D59" s="159">
        <v>5670000</v>
      </c>
    </row>
    <row r="60" spans="1:4" ht="16" customHeight="1">
      <c r="A60" s="111" t="s">
        <v>456</v>
      </c>
      <c r="B60" s="111" t="s">
        <v>280</v>
      </c>
      <c r="C60" s="112" t="s">
        <v>477</v>
      </c>
      <c r="D60" s="159">
        <v>1023</v>
      </c>
    </row>
    <row r="61" spans="1:4" ht="16" customHeight="1">
      <c r="A61" s="111" t="s">
        <v>454</v>
      </c>
      <c r="B61" s="111" t="s">
        <v>280</v>
      </c>
      <c r="C61" s="112" t="s">
        <v>476</v>
      </c>
      <c r="D61" s="159">
        <v>9981481.4814814702</v>
      </c>
    </row>
    <row r="62" spans="1:4" ht="16" customHeight="1">
      <c r="A62" s="111" t="s">
        <v>438</v>
      </c>
      <c r="B62" s="111" t="s">
        <v>280</v>
      </c>
      <c r="C62" s="112" t="s">
        <v>439</v>
      </c>
      <c r="D62" s="159">
        <v>1</v>
      </c>
    </row>
    <row r="63" spans="1:4" ht="16" customHeight="1">
      <c r="A63" s="111" t="s">
        <v>315</v>
      </c>
      <c r="B63" s="111" t="s">
        <v>280</v>
      </c>
      <c r="C63" s="112" t="s">
        <v>316</v>
      </c>
      <c r="D63" s="159">
        <v>64</v>
      </c>
    </row>
    <row r="64" spans="1:4" s="101" customFormat="1" ht="16" customHeight="1">
      <c r="A64" s="108" t="s">
        <v>457</v>
      </c>
      <c r="B64" s="108"/>
      <c r="C64" s="109"/>
      <c r="D64" s="160"/>
    </row>
    <row r="65" spans="1:4" ht="16" customHeight="1">
      <c r="A65" s="111">
        <v>3.1</v>
      </c>
      <c r="B65" s="111" t="s">
        <v>277</v>
      </c>
      <c r="C65" s="112" t="s">
        <v>319</v>
      </c>
      <c r="D65" s="159">
        <v>3053399</v>
      </c>
    </row>
    <row r="66" spans="1:4" ht="16" customHeight="1">
      <c r="A66" s="111">
        <v>6.2</v>
      </c>
      <c r="B66" s="111" t="s">
        <v>277</v>
      </c>
      <c r="C66" s="112" t="s">
        <v>303</v>
      </c>
      <c r="D66" s="159">
        <v>6</v>
      </c>
    </row>
    <row r="67" spans="1:4" ht="16" customHeight="1">
      <c r="A67" s="111" t="s">
        <v>454</v>
      </c>
      <c r="B67" s="111" t="s">
        <v>280</v>
      </c>
      <c r="C67" s="112" t="s">
        <v>476</v>
      </c>
      <c r="D67" s="159">
        <v>25312359.550561801</v>
      </c>
    </row>
    <row r="68" spans="1:4" ht="16" customHeight="1">
      <c r="A68" s="111" t="s">
        <v>282</v>
      </c>
      <c r="B68" s="111" t="s">
        <v>280</v>
      </c>
      <c r="C68" s="112" t="s">
        <v>283</v>
      </c>
      <c r="D68" s="159">
        <v>8</v>
      </c>
    </row>
    <row r="69" spans="1:4" s="101" customFormat="1" ht="16" customHeight="1">
      <c r="A69" s="108" t="s">
        <v>458</v>
      </c>
      <c r="B69" s="108"/>
      <c r="C69" s="109"/>
      <c r="D69" s="160"/>
    </row>
    <row r="70" spans="1:4" ht="16" customHeight="1">
      <c r="A70" s="111">
        <v>1.2</v>
      </c>
      <c r="B70" s="111" t="s">
        <v>277</v>
      </c>
      <c r="C70" s="112" t="s">
        <v>318</v>
      </c>
      <c r="D70" s="159">
        <v>144</v>
      </c>
    </row>
    <row r="71" spans="1:4" ht="16" customHeight="1">
      <c r="A71" s="111">
        <v>1.3</v>
      </c>
      <c r="B71" s="111" t="s">
        <v>277</v>
      </c>
      <c r="C71" s="112" t="s">
        <v>291</v>
      </c>
      <c r="D71" s="159">
        <v>225600</v>
      </c>
    </row>
    <row r="72" spans="1:4" ht="16" customHeight="1">
      <c r="A72" s="111">
        <v>2.1</v>
      </c>
      <c r="B72" s="111" t="s">
        <v>277</v>
      </c>
      <c r="C72" s="112" t="s">
        <v>365</v>
      </c>
      <c r="D72" s="159">
        <v>20</v>
      </c>
    </row>
    <row r="73" spans="1:4" ht="16" customHeight="1">
      <c r="A73" s="111">
        <v>3.3</v>
      </c>
      <c r="B73" s="111" t="s">
        <v>277</v>
      </c>
      <c r="C73" s="112" t="s">
        <v>292</v>
      </c>
      <c r="D73" s="159">
        <v>559512</v>
      </c>
    </row>
    <row r="74" spans="1:4" s="172" customFormat="1" ht="16" customHeight="1">
      <c r="A74" s="111">
        <v>4.0999999999999996</v>
      </c>
      <c r="B74" s="111" t="s">
        <v>277</v>
      </c>
      <c r="C74" s="112" t="s">
        <v>293</v>
      </c>
      <c r="D74" s="159">
        <v>559512</v>
      </c>
    </row>
    <row r="75" spans="1:4" ht="16" customHeight="1">
      <c r="A75" s="111">
        <v>6.2</v>
      </c>
      <c r="B75" s="111" t="s">
        <v>277</v>
      </c>
      <c r="C75" s="112" t="s">
        <v>303</v>
      </c>
      <c r="D75" s="159">
        <v>8</v>
      </c>
    </row>
    <row r="76" spans="1:4" ht="16" customHeight="1">
      <c r="A76" s="111" t="s">
        <v>320</v>
      </c>
      <c r="B76" s="111" t="s">
        <v>280</v>
      </c>
      <c r="C76" s="112" t="s">
        <v>321</v>
      </c>
      <c r="D76" s="159">
        <v>32</v>
      </c>
    </row>
    <row r="77" spans="1:4" ht="16" customHeight="1">
      <c r="A77" s="111" t="s">
        <v>308</v>
      </c>
      <c r="B77" s="111" t="s">
        <v>280</v>
      </c>
      <c r="C77" s="112" t="s">
        <v>309</v>
      </c>
      <c r="D77" s="159">
        <v>2</v>
      </c>
    </row>
    <row r="78" spans="1:4" ht="16" customHeight="1">
      <c r="A78" s="111" t="s">
        <v>328</v>
      </c>
      <c r="B78" s="111" t="s">
        <v>280</v>
      </c>
      <c r="C78" s="112" t="s">
        <v>329</v>
      </c>
      <c r="D78" s="159">
        <v>12</v>
      </c>
    </row>
    <row r="79" spans="1:4" ht="16" customHeight="1">
      <c r="A79" s="111" t="s">
        <v>286</v>
      </c>
      <c r="B79" s="111" t="s">
        <v>280</v>
      </c>
      <c r="C79" s="112" t="s">
        <v>287</v>
      </c>
      <c r="D79" s="159">
        <v>8</v>
      </c>
    </row>
    <row r="80" spans="1:4" ht="16" customHeight="1">
      <c r="A80" s="111" t="s">
        <v>295</v>
      </c>
      <c r="B80" s="111" t="s">
        <v>280</v>
      </c>
      <c r="C80" s="112" t="s">
        <v>296</v>
      </c>
      <c r="D80" s="159">
        <v>12</v>
      </c>
    </row>
    <row r="81" spans="1:4" ht="16" customHeight="1">
      <c r="A81" s="111" t="s">
        <v>310</v>
      </c>
      <c r="B81" s="111" t="s">
        <v>280</v>
      </c>
      <c r="C81" s="112" t="s">
        <v>311</v>
      </c>
      <c r="D81" s="159">
        <v>352</v>
      </c>
    </row>
    <row r="82" spans="1:4" s="172" customFormat="1" ht="16" customHeight="1">
      <c r="A82" s="111" t="s">
        <v>377</v>
      </c>
      <c r="B82" s="111" t="s">
        <v>280</v>
      </c>
      <c r="C82" s="112" t="s">
        <v>378</v>
      </c>
      <c r="D82" s="159">
        <v>1</v>
      </c>
    </row>
    <row r="83" spans="1:4" s="101" customFormat="1" ht="16" customHeight="1">
      <c r="A83" s="108" t="s">
        <v>459</v>
      </c>
      <c r="B83" s="108"/>
      <c r="C83" s="109"/>
      <c r="D83" s="160"/>
    </row>
    <row r="84" spans="1:4" s="172" customFormat="1" ht="16" customHeight="1">
      <c r="A84" s="111">
        <v>1.3</v>
      </c>
      <c r="B84" s="111" t="s">
        <v>277</v>
      </c>
      <c r="C84" s="112" t="s">
        <v>291</v>
      </c>
      <c r="D84" s="159">
        <v>1097225</v>
      </c>
    </row>
    <row r="85" spans="1:4" ht="16" customHeight="1">
      <c r="A85" s="111">
        <v>4.0999999999999996</v>
      </c>
      <c r="B85" s="111" t="s">
        <v>277</v>
      </c>
      <c r="C85" s="112" t="s">
        <v>293</v>
      </c>
      <c r="D85" s="159">
        <v>3361055</v>
      </c>
    </row>
    <row r="86" spans="1:4" ht="16" customHeight="1">
      <c r="A86" s="111">
        <v>4.2</v>
      </c>
      <c r="B86" s="111" t="s">
        <v>277</v>
      </c>
      <c r="C86" s="112" t="s">
        <v>278</v>
      </c>
      <c r="D86" s="161">
        <v>0</v>
      </c>
    </row>
    <row r="87" spans="1:4" ht="16" customHeight="1">
      <c r="A87" s="111" t="s">
        <v>304</v>
      </c>
      <c r="B87" s="111" t="s">
        <v>280</v>
      </c>
      <c r="C87" s="112" t="s">
        <v>305</v>
      </c>
      <c r="D87" s="159">
        <v>25</v>
      </c>
    </row>
    <row r="88" spans="1:4" ht="16" customHeight="1">
      <c r="A88" s="111" t="s">
        <v>322</v>
      </c>
      <c r="B88" s="111" t="s">
        <v>280</v>
      </c>
      <c r="C88" s="112" t="s">
        <v>323</v>
      </c>
      <c r="D88" s="159">
        <v>12786</v>
      </c>
    </row>
    <row r="89" spans="1:4" ht="16" customHeight="1">
      <c r="A89" s="111" t="s">
        <v>328</v>
      </c>
      <c r="B89" s="111" t="s">
        <v>280</v>
      </c>
      <c r="C89" s="112" t="s">
        <v>329</v>
      </c>
      <c r="D89" s="159">
        <v>11</v>
      </c>
    </row>
    <row r="90" spans="1:4" ht="16" customHeight="1">
      <c r="A90" s="111" t="s">
        <v>295</v>
      </c>
      <c r="B90" s="111" t="s">
        <v>280</v>
      </c>
      <c r="C90" s="112" t="s">
        <v>296</v>
      </c>
      <c r="D90" s="159">
        <v>11</v>
      </c>
    </row>
    <row r="91" spans="1:4" ht="16" customHeight="1">
      <c r="A91" s="111" t="s">
        <v>460</v>
      </c>
      <c r="B91" s="111" t="s">
        <v>280</v>
      </c>
      <c r="C91" s="112" t="s">
        <v>478</v>
      </c>
      <c r="D91" s="159">
        <v>4</v>
      </c>
    </row>
    <row r="92" spans="1:4" s="101" customFormat="1" ht="16" customHeight="1">
      <c r="A92" s="108" t="s">
        <v>461</v>
      </c>
      <c r="B92" s="108"/>
      <c r="C92" s="109"/>
      <c r="D92" s="160"/>
    </row>
    <row r="93" spans="1:4" ht="16" customHeight="1">
      <c r="A93" s="111">
        <v>1.2</v>
      </c>
      <c r="B93" s="111" t="s">
        <v>277</v>
      </c>
      <c r="C93" s="112" t="s">
        <v>318</v>
      </c>
      <c r="D93" s="159">
        <v>1017.51025438969</v>
      </c>
    </row>
    <row r="94" spans="1:4" ht="16" customHeight="1">
      <c r="A94" s="111">
        <v>2.1</v>
      </c>
      <c r="B94" s="111" t="s">
        <v>277</v>
      </c>
      <c r="C94" s="112" t="s">
        <v>365</v>
      </c>
      <c r="D94" s="159">
        <v>319.969287345174</v>
      </c>
    </row>
    <row r="95" spans="1:4" ht="16" customHeight="1">
      <c r="A95" s="111">
        <v>2.2999999999999998</v>
      </c>
      <c r="B95" s="111" t="s">
        <v>277</v>
      </c>
      <c r="C95" s="112" t="s">
        <v>366</v>
      </c>
      <c r="D95" s="159">
        <v>1281</v>
      </c>
    </row>
    <row r="96" spans="1:4" ht="16" customHeight="1">
      <c r="A96" s="111">
        <v>3.2</v>
      </c>
      <c r="B96" s="111" t="s">
        <v>277</v>
      </c>
      <c r="C96" s="112" t="s">
        <v>417</v>
      </c>
      <c r="D96" s="159">
        <v>150000</v>
      </c>
    </row>
    <row r="97" spans="1:4" ht="16" customHeight="1">
      <c r="A97" s="111">
        <v>5.0999999999999996</v>
      </c>
      <c r="B97" s="111" t="s">
        <v>277</v>
      </c>
      <c r="C97" s="112" t="s">
        <v>343</v>
      </c>
      <c r="D97" s="159">
        <v>150000</v>
      </c>
    </row>
    <row r="98" spans="1:4" ht="16" customHeight="1">
      <c r="A98" s="111">
        <v>5.3</v>
      </c>
      <c r="B98" s="111" t="s">
        <v>277</v>
      </c>
      <c r="C98" s="112" t="s">
        <v>479</v>
      </c>
      <c r="D98" s="159">
        <v>27146</v>
      </c>
    </row>
    <row r="99" spans="1:4" ht="16" customHeight="1">
      <c r="A99" s="111">
        <v>6.1</v>
      </c>
      <c r="B99" s="111" t="s">
        <v>277</v>
      </c>
      <c r="C99" s="112" t="s">
        <v>334</v>
      </c>
      <c r="D99" s="159">
        <v>135</v>
      </c>
    </row>
    <row r="100" spans="1:4" s="172" customFormat="1" ht="16" customHeight="1">
      <c r="A100" s="111" t="s">
        <v>320</v>
      </c>
      <c r="B100" s="111" t="s">
        <v>280</v>
      </c>
      <c r="C100" s="112" t="s">
        <v>321</v>
      </c>
      <c r="D100" s="159">
        <v>1093</v>
      </c>
    </row>
    <row r="101" spans="1:4" ht="16" customHeight="1">
      <c r="A101" s="111" t="s">
        <v>304</v>
      </c>
      <c r="B101" s="111" t="s">
        <v>280</v>
      </c>
      <c r="C101" s="112" t="s">
        <v>305</v>
      </c>
      <c r="D101" s="159">
        <v>11</v>
      </c>
    </row>
    <row r="102" spans="1:4" ht="16" customHeight="1">
      <c r="A102" s="111" t="s">
        <v>346</v>
      </c>
      <c r="B102" s="111" t="s">
        <v>280</v>
      </c>
      <c r="C102" s="112" t="s">
        <v>347</v>
      </c>
      <c r="D102" s="159">
        <v>1</v>
      </c>
    </row>
    <row r="103" spans="1:4" ht="16" customHeight="1">
      <c r="A103" s="111" t="s">
        <v>279</v>
      </c>
      <c r="B103" s="111" t="s">
        <v>280</v>
      </c>
      <c r="C103" s="112" t="s">
        <v>281</v>
      </c>
      <c r="D103" s="159">
        <v>1</v>
      </c>
    </row>
    <row r="104" spans="1:4" s="172" customFormat="1" ht="16" customHeight="1">
      <c r="A104" s="111" t="s">
        <v>282</v>
      </c>
      <c r="B104" s="111" t="s">
        <v>280</v>
      </c>
      <c r="C104" s="112" t="s">
        <v>283</v>
      </c>
      <c r="D104" s="159">
        <v>11</v>
      </c>
    </row>
    <row r="105" spans="1:4" ht="16" customHeight="1">
      <c r="A105" s="111" t="s">
        <v>418</v>
      </c>
      <c r="B105" s="111" t="s">
        <v>280</v>
      </c>
      <c r="C105" s="112" t="s">
        <v>419</v>
      </c>
      <c r="D105" s="159">
        <v>26500</v>
      </c>
    </row>
    <row r="106" spans="1:4" ht="16" customHeight="1">
      <c r="A106" s="111" t="s">
        <v>315</v>
      </c>
      <c r="B106" s="111" t="s">
        <v>280</v>
      </c>
      <c r="C106" s="112" t="s">
        <v>316</v>
      </c>
      <c r="D106" s="159">
        <v>11</v>
      </c>
    </row>
    <row r="107" spans="1:4" ht="16" customHeight="1">
      <c r="A107" s="111" t="s">
        <v>462</v>
      </c>
      <c r="B107" s="111" t="s">
        <v>280</v>
      </c>
      <c r="C107" s="112" t="s">
        <v>480</v>
      </c>
      <c r="D107" s="159">
        <v>108091</v>
      </c>
    </row>
    <row r="108" spans="1:4" ht="16" customHeight="1">
      <c r="A108" s="111" t="s">
        <v>310</v>
      </c>
      <c r="B108" s="111" t="s">
        <v>280</v>
      </c>
      <c r="C108" s="112" t="s">
        <v>311</v>
      </c>
      <c r="D108" s="159">
        <v>3775</v>
      </c>
    </row>
    <row r="109" spans="1:4" s="101" customFormat="1" ht="16" customHeight="1">
      <c r="A109" s="108" t="s">
        <v>463</v>
      </c>
      <c r="B109" s="108"/>
      <c r="C109" s="109"/>
      <c r="D109" s="160"/>
    </row>
    <row r="110" spans="1:4" ht="16" customHeight="1">
      <c r="A110" s="111">
        <v>3.1</v>
      </c>
      <c r="B110" s="111" t="s">
        <v>277</v>
      </c>
      <c r="C110" s="112" t="s">
        <v>319</v>
      </c>
      <c r="D110" s="159">
        <v>2.7</v>
      </c>
    </row>
    <row r="111" spans="1:4" s="172" customFormat="1" ht="16" customHeight="1">
      <c r="A111" s="111">
        <v>6.2</v>
      </c>
      <c r="B111" s="111" t="s">
        <v>277</v>
      </c>
      <c r="C111" s="112" t="s">
        <v>303</v>
      </c>
      <c r="D111" s="159">
        <v>1</v>
      </c>
    </row>
    <row r="112" spans="1:4" ht="16" customHeight="1">
      <c r="A112" s="111" t="s">
        <v>320</v>
      </c>
      <c r="B112" s="111" t="s">
        <v>280</v>
      </c>
      <c r="C112" s="112" t="s">
        <v>321</v>
      </c>
      <c r="D112" s="159">
        <v>788</v>
      </c>
    </row>
    <row r="113" spans="1:4" ht="16" customHeight="1">
      <c r="A113" s="111" t="s">
        <v>322</v>
      </c>
      <c r="B113" s="111" t="s">
        <v>280</v>
      </c>
      <c r="C113" s="112" t="s">
        <v>323</v>
      </c>
      <c r="D113" s="159">
        <v>369</v>
      </c>
    </row>
    <row r="114" spans="1:4" ht="16" customHeight="1">
      <c r="A114" s="111" t="s">
        <v>456</v>
      </c>
      <c r="B114" s="111" t="s">
        <v>280</v>
      </c>
      <c r="C114" s="112" t="s">
        <v>477</v>
      </c>
      <c r="D114" s="159">
        <v>369</v>
      </c>
    </row>
    <row r="115" spans="1:4" ht="16" customHeight="1">
      <c r="A115" s="111" t="s">
        <v>454</v>
      </c>
      <c r="B115" s="111" t="s">
        <v>280</v>
      </c>
      <c r="C115" s="112" t="s">
        <v>476</v>
      </c>
      <c r="D115" s="159">
        <v>110210000</v>
      </c>
    </row>
    <row r="116" spans="1:4" ht="16" customHeight="1">
      <c r="A116" s="111" t="s">
        <v>326</v>
      </c>
      <c r="B116" s="111" t="s">
        <v>280</v>
      </c>
      <c r="C116" s="112" t="s">
        <v>327</v>
      </c>
      <c r="D116" s="159">
        <v>1</v>
      </c>
    </row>
    <row r="117" spans="1:4" ht="16" customHeight="1">
      <c r="A117" s="111" t="s">
        <v>313</v>
      </c>
      <c r="B117" s="111" t="s">
        <v>280</v>
      </c>
      <c r="C117" s="112" t="s">
        <v>314</v>
      </c>
      <c r="D117" s="159">
        <v>7000</v>
      </c>
    </row>
    <row r="118" spans="1:4" ht="16" customHeight="1">
      <c r="A118" s="111" t="s">
        <v>310</v>
      </c>
      <c r="B118" s="111" t="s">
        <v>280</v>
      </c>
      <c r="C118" s="112" t="s">
        <v>311</v>
      </c>
      <c r="D118" s="159">
        <v>20</v>
      </c>
    </row>
    <row r="119" spans="1:4" s="101" customFormat="1" ht="16" customHeight="1">
      <c r="A119" s="108" t="s">
        <v>464</v>
      </c>
      <c r="B119" s="108"/>
      <c r="C119" s="109"/>
      <c r="D119" s="160"/>
    </row>
    <row r="120" spans="1:4" ht="16" customHeight="1">
      <c r="A120" s="111">
        <v>1.2</v>
      </c>
      <c r="B120" s="111" t="s">
        <v>277</v>
      </c>
      <c r="C120" s="112" t="s">
        <v>318</v>
      </c>
      <c r="D120" s="159">
        <v>410745</v>
      </c>
    </row>
    <row r="121" spans="1:4" ht="16" customHeight="1">
      <c r="A121" s="111">
        <v>2.1</v>
      </c>
      <c r="B121" s="111" t="s">
        <v>277</v>
      </c>
      <c r="C121" s="112" t="s">
        <v>365</v>
      </c>
      <c r="D121" s="159">
        <v>149546</v>
      </c>
    </row>
    <row r="122" spans="1:4" ht="16" customHeight="1">
      <c r="A122" s="111">
        <v>5.0999999999999996</v>
      </c>
      <c r="B122" s="111" t="s">
        <v>277</v>
      </c>
      <c r="C122" s="112" t="s">
        <v>343</v>
      </c>
      <c r="D122" s="159">
        <v>13852.8</v>
      </c>
    </row>
    <row r="123" spans="1:4" ht="16" customHeight="1">
      <c r="A123" s="111" t="s">
        <v>308</v>
      </c>
      <c r="B123" s="111" t="s">
        <v>280</v>
      </c>
      <c r="C123" s="112" t="s">
        <v>309</v>
      </c>
      <c r="D123" s="159">
        <v>10</v>
      </c>
    </row>
    <row r="124" spans="1:4" s="172" customFormat="1" ht="16" customHeight="1">
      <c r="A124" s="111" t="s">
        <v>315</v>
      </c>
      <c r="B124" s="111" t="s">
        <v>280</v>
      </c>
      <c r="C124" s="112" t="s">
        <v>316</v>
      </c>
      <c r="D124" s="159">
        <v>10</v>
      </c>
    </row>
    <row r="125" spans="1:4" ht="16" customHeight="1">
      <c r="A125" s="111" t="s">
        <v>310</v>
      </c>
      <c r="B125" s="111" t="s">
        <v>280</v>
      </c>
      <c r="C125" s="112" t="s">
        <v>311</v>
      </c>
      <c r="D125" s="159">
        <v>12553</v>
      </c>
    </row>
    <row r="126" spans="1:4" s="101" customFormat="1" ht="16" customHeight="1">
      <c r="A126" s="108" t="s">
        <v>465</v>
      </c>
      <c r="B126" s="108"/>
      <c r="C126" s="109"/>
      <c r="D126" s="160"/>
    </row>
    <row r="127" spans="1:4" ht="16" customHeight="1">
      <c r="A127" s="111">
        <v>1.2</v>
      </c>
      <c r="B127" s="111" t="s">
        <v>277</v>
      </c>
      <c r="C127" s="112" t="s">
        <v>318</v>
      </c>
      <c r="D127" s="159">
        <v>2704.9180327868899</v>
      </c>
    </row>
    <row r="128" spans="1:4" ht="16" customHeight="1">
      <c r="A128" s="111">
        <v>5.0999999999999996</v>
      </c>
      <c r="B128" s="111" t="s">
        <v>277</v>
      </c>
      <c r="C128" s="112" t="s">
        <v>343</v>
      </c>
      <c r="D128" s="159">
        <v>8300000</v>
      </c>
    </row>
    <row r="129" spans="1:4" ht="16" customHeight="1">
      <c r="A129" s="111">
        <v>6.2</v>
      </c>
      <c r="B129" s="111" t="s">
        <v>277</v>
      </c>
      <c r="C129" s="112" t="s">
        <v>303</v>
      </c>
      <c r="D129" s="159">
        <v>1</v>
      </c>
    </row>
    <row r="130" spans="1:4" ht="16" customHeight="1">
      <c r="A130" s="111" t="s">
        <v>304</v>
      </c>
      <c r="B130" s="111" t="s">
        <v>280</v>
      </c>
      <c r="C130" s="112" t="s">
        <v>305</v>
      </c>
      <c r="D130" s="159">
        <v>4</v>
      </c>
    </row>
    <row r="131" spans="1:4" ht="16" customHeight="1">
      <c r="A131" s="111" t="s">
        <v>282</v>
      </c>
      <c r="B131" s="111" t="s">
        <v>280</v>
      </c>
      <c r="C131" s="112" t="s">
        <v>283</v>
      </c>
      <c r="D131" s="159">
        <v>4</v>
      </c>
    </row>
    <row r="132" spans="1:4" ht="16" customHeight="1">
      <c r="A132" s="111" t="s">
        <v>315</v>
      </c>
      <c r="B132" s="111" t="s">
        <v>280</v>
      </c>
      <c r="C132" s="112" t="s">
        <v>316</v>
      </c>
      <c r="D132" s="159">
        <v>4</v>
      </c>
    </row>
    <row r="133" spans="1:4" ht="16" customHeight="1">
      <c r="A133" s="111" t="s">
        <v>310</v>
      </c>
      <c r="B133" s="111" t="s">
        <v>280</v>
      </c>
      <c r="C133" s="112" t="s">
        <v>311</v>
      </c>
      <c r="D133" s="159">
        <v>40</v>
      </c>
    </row>
    <row r="134" spans="1:4" s="101" customFormat="1" ht="16" customHeight="1">
      <c r="A134" s="108" t="s">
        <v>466</v>
      </c>
      <c r="B134" s="108"/>
      <c r="C134" s="109"/>
      <c r="D134" s="160"/>
    </row>
    <row r="135" spans="1:4" ht="16" customHeight="1">
      <c r="A135" s="111">
        <v>2.2000000000000002</v>
      </c>
      <c r="B135" s="111" t="s">
        <v>277</v>
      </c>
      <c r="C135" s="112" t="s">
        <v>342</v>
      </c>
      <c r="D135" s="159">
        <v>963</v>
      </c>
    </row>
    <row r="136" spans="1:4" ht="16" customHeight="1">
      <c r="A136" s="111">
        <v>6.2</v>
      </c>
      <c r="B136" s="111" t="s">
        <v>277</v>
      </c>
      <c r="C136" s="112" t="s">
        <v>303</v>
      </c>
      <c r="D136" s="159">
        <v>118</v>
      </c>
    </row>
    <row r="137" spans="1:4" ht="16" customHeight="1">
      <c r="A137" s="111" t="s">
        <v>320</v>
      </c>
      <c r="B137" s="111" t="s">
        <v>280</v>
      </c>
      <c r="C137" s="112" t="s">
        <v>321</v>
      </c>
      <c r="D137" s="159">
        <v>19027</v>
      </c>
    </row>
    <row r="138" spans="1:4" ht="16" customHeight="1">
      <c r="A138" s="111" t="s">
        <v>304</v>
      </c>
      <c r="B138" s="111" t="s">
        <v>280</v>
      </c>
      <c r="C138" s="112" t="s">
        <v>305</v>
      </c>
      <c r="D138" s="159">
        <v>117</v>
      </c>
    </row>
    <row r="139" spans="1:4" s="172" customFormat="1" ht="16" customHeight="1">
      <c r="A139" s="111" t="s">
        <v>322</v>
      </c>
      <c r="B139" s="111" t="s">
        <v>280</v>
      </c>
      <c r="C139" s="112" t="s">
        <v>323</v>
      </c>
      <c r="D139" s="159">
        <v>10961</v>
      </c>
    </row>
    <row r="140" spans="1:4" ht="16" customHeight="1">
      <c r="A140" s="111" t="s">
        <v>308</v>
      </c>
      <c r="B140" s="111" t="s">
        <v>280</v>
      </c>
      <c r="C140" s="112" t="s">
        <v>309</v>
      </c>
      <c r="D140" s="159">
        <v>117</v>
      </c>
    </row>
    <row r="141" spans="1:4" ht="16" customHeight="1">
      <c r="A141" s="111" t="s">
        <v>282</v>
      </c>
      <c r="B141" s="111" t="s">
        <v>280</v>
      </c>
      <c r="C141" s="112" t="s">
        <v>283</v>
      </c>
      <c r="D141" s="159">
        <v>117</v>
      </c>
    </row>
    <row r="142" spans="1:4" ht="16" customHeight="1">
      <c r="A142" s="111" t="s">
        <v>310</v>
      </c>
      <c r="B142" s="111" t="s">
        <v>280</v>
      </c>
      <c r="C142" s="112" t="s">
        <v>311</v>
      </c>
      <c r="D142" s="159">
        <v>4417</v>
      </c>
    </row>
    <row r="143" spans="1:4" s="101" customFormat="1" ht="16" customHeight="1">
      <c r="A143" s="108" t="s">
        <v>467</v>
      </c>
      <c r="B143" s="108"/>
      <c r="C143" s="109"/>
      <c r="D143" s="160"/>
    </row>
    <row r="144" spans="1:4" ht="16" customHeight="1">
      <c r="A144" s="111">
        <v>1.1000000000000001</v>
      </c>
      <c r="B144" s="111" t="s">
        <v>277</v>
      </c>
      <c r="C144" s="112" t="s">
        <v>471</v>
      </c>
      <c r="D144" s="159">
        <v>1222546</v>
      </c>
    </row>
    <row r="145" spans="1:4" ht="16" customHeight="1">
      <c r="A145" s="111">
        <v>2.1</v>
      </c>
      <c r="B145" s="111" t="s">
        <v>277</v>
      </c>
      <c r="C145" s="112" t="s">
        <v>365</v>
      </c>
      <c r="D145" s="159">
        <v>59652</v>
      </c>
    </row>
    <row r="146" spans="1:4" ht="16" customHeight="1">
      <c r="A146" s="111">
        <v>4.0999999999999996</v>
      </c>
      <c r="B146" s="111" t="s">
        <v>277</v>
      </c>
      <c r="C146" s="112" t="s">
        <v>293</v>
      </c>
      <c r="D146" s="159">
        <v>1222546</v>
      </c>
    </row>
    <row r="147" spans="1:4" ht="16" customHeight="1">
      <c r="A147" s="111">
        <v>6.2</v>
      </c>
      <c r="B147" s="111" t="s">
        <v>277</v>
      </c>
      <c r="C147" s="112" t="s">
        <v>303</v>
      </c>
      <c r="D147" s="159">
        <v>20</v>
      </c>
    </row>
    <row r="148" spans="1:4" ht="16" customHeight="1">
      <c r="A148" s="111" t="s">
        <v>373</v>
      </c>
      <c r="B148" s="111" t="s">
        <v>280</v>
      </c>
      <c r="C148" s="112" t="s">
        <v>374</v>
      </c>
      <c r="D148" s="159">
        <v>1</v>
      </c>
    </row>
    <row r="149" spans="1:4" ht="16" customHeight="1">
      <c r="A149" s="111" t="s">
        <v>322</v>
      </c>
      <c r="B149" s="111" t="s">
        <v>280</v>
      </c>
      <c r="C149" s="112" t="s">
        <v>323</v>
      </c>
      <c r="D149" s="159">
        <v>47177</v>
      </c>
    </row>
    <row r="150" spans="1:4" s="172" customFormat="1" ht="16" customHeight="1">
      <c r="A150" s="111" t="s">
        <v>468</v>
      </c>
      <c r="B150" s="111" t="s">
        <v>280</v>
      </c>
      <c r="C150" s="112" t="s">
        <v>481</v>
      </c>
      <c r="D150" s="159">
        <v>1</v>
      </c>
    </row>
    <row r="151" spans="1:4" ht="16" customHeight="1">
      <c r="A151" s="111" t="s">
        <v>346</v>
      </c>
      <c r="B151" s="111" t="s">
        <v>280</v>
      </c>
      <c r="C151" s="112" t="s">
        <v>347</v>
      </c>
      <c r="D151" s="159">
        <v>1</v>
      </c>
    </row>
    <row r="152" spans="1:4" ht="16" customHeight="1">
      <c r="A152" s="111" t="s">
        <v>286</v>
      </c>
      <c r="B152" s="111" t="s">
        <v>280</v>
      </c>
      <c r="C152" s="112" t="s">
        <v>287</v>
      </c>
      <c r="D152" s="159">
        <v>20</v>
      </c>
    </row>
    <row r="153" spans="1:4" ht="16" customHeight="1">
      <c r="A153" s="111" t="s">
        <v>295</v>
      </c>
      <c r="B153" s="111" t="s">
        <v>280</v>
      </c>
      <c r="C153" s="112" t="s">
        <v>296</v>
      </c>
      <c r="D153" s="159">
        <v>4867</v>
      </c>
    </row>
    <row r="154" spans="1:4" s="172" customFormat="1" ht="16" customHeight="1">
      <c r="A154" s="111" t="s">
        <v>377</v>
      </c>
      <c r="B154" s="111" t="s">
        <v>280</v>
      </c>
      <c r="C154" s="112" t="s">
        <v>378</v>
      </c>
      <c r="D154" s="159">
        <v>1</v>
      </c>
    </row>
    <row r="155" spans="1:4" ht="16" customHeight="1">
      <c r="A155" s="111" t="s">
        <v>370</v>
      </c>
      <c r="B155" s="111" t="s">
        <v>280</v>
      </c>
      <c r="C155" s="112" t="s">
        <v>371</v>
      </c>
      <c r="D155" s="159">
        <v>1</v>
      </c>
    </row>
    <row r="156" spans="1:4" s="101" customFormat="1" ht="16" customHeight="1">
      <c r="A156" s="108" t="s">
        <v>469</v>
      </c>
      <c r="B156" s="108"/>
      <c r="C156" s="109"/>
      <c r="D156" s="160"/>
    </row>
    <row r="157" spans="1:4" ht="16" customHeight="1">
      <c r="A157" s="111" t="s">
        <v>454</v>
      </c>
      <c r="B157" s="111" t="s">
        <v>280</v>
      </c>
      <c r="C157" s="112" t="s">
        <v>476</v>
      </c>
      <c r="D157" s="159">
        <v>0</v>
      </c>
    </row>
    <row r="158" spans="1:4" ht="16" customHeight="1">
      <c r="A158" s="111" t="s">
        <v>295</v>
      </c>
      <c r="B158" s="111" t="s">
        <v>280</v>
      </c>
      <c r="C158" s="112" t="s">
        <v>296</v>
      </c>
      <c r="D158" s="159">
        <v>0</v>
      </c>
    </row>
    <row r="159" spans="1:4" s="101" customFormat="1" ht="16" customHeight="1">
      <c r="A159" s="108" t="s">
        <v>470</v>
      </c>
      <c r="B159" s="108"/>
      <c r="C159" s="109"/>
      <c r="D159" s="160"/>
    </row>
    <row r="160" spans="1:4" ht="16" customHeight="1">
      <c r="A160" s="111">
        <v>3.1</v>
      </c>
      <c r="B160" s="111" t="s">
        <v>277</v>
      </c>
      <c r="C160" s="112" t="s">
        <v>319</v>
      </c>
      <c r="D160" s="159">
        <v>127.9</v>
      </c>
    </row>
    <row r="161" spans="1:4" s="172" customFormat="1" ht="16" customHeight="1">
      <c r="A161" s="111">
        <v>6.2</v>
      </c>
      <c r="B161" s="111" t="s">
        <v>277</v>
      </c>
      <c r="C161" s="112" t="s">
        <v>303</v>
      </c>
      <c r="D161" s="159">
        <v>0</v>
      </c>
    </row>
    <row r="162" spans="1:4" ht="16" customHeight="1">
      <c r="A162" s="111" t="s">
        <v>304</v>
      </c>
      <c r="B162" s="111" t="s">
        <v>280</v>
      </c>
      <c r="C162" s="112" t="s">
        <v>305</v>
      </c>
      <c r="D162" s="159">
        <v>3</v>
      </c>
    </row>
    <row r="163" spans="1:4" ht="16" customHeight="1">
      <c r="A163" s="111" t="s">
        <v>326</v>
      </c>
      <c r="B163" s="111" t="s">
        <v>280</v>
      </c>
      <c r="C163" s="112" t="s">
        <v>327</v>
      </c>
      <c r="D163" s="159">
        <v>3</v>
      </c>
    </row>
    <row r="164" spans="1:4" ht="16" customHeight="1">
      <c r="A164" s="111" t="s">
        <v>313</v>
      </c>
      <c r="B164" s="111" t="s">
        <v>280</v>
      </c>
      <c r="C164" s="112" t="s">
        <v>314</v>
      </c>
      <c r="D164" s="159">
        <v>23.5</v>
      </c>
    </row>
    <row r="165" spans="1:4" ht="16" customHeight="1">
      <c r="A165" s="111" t="s">
        <v>360</v>
      </c>
      <c r="B165" s="111" t="s">
        <v>280</v>
      </c>
      <c r="C165" s="112" t="s">
        <v>361</v>
      </c>
      <c r="D165" s="161">
        <v>0</v>
      </c>
    </row>
    <row r="166" spans="1:4" s="100" customFormat="1" ht="15" customHeight="1">
      <c r="A166" s="105" t="s">
        <v>332</v>
      </c>
      <c r="B166" s="105"/>
      <c r="C166" s="106"/>
      <c r="D166" s="138"/>
    </row>
    <row r="167" spans="1:4" s="101" customFormat="1" ht="15" customHeight="1">
      <c r="A167" s="108" t="s">
        <v>482</v>
      </c>
      <c r="B167" s="108"/>
      <c r="C167" s="109"/>
      <c r="D167" s="137"/>
    </row>
    <row r="168" spans="1:4" ht="15" customHeight="1">
      <c r="A168" s="111">
        <v>1.2</v>
      </c>
      <c r="B168" s="111" t="s">
        <v>277</v>
      </c>
      <c r="C168" s="112" t="s">
        <v>318</v>
      </c>
      <c r="D168" s="136">
        <v>5749</v>
      </c>
    </row>
    <row r="169" spans="1:4" ht="15" customHeight="1">
      <c r="A169" s="111">
        <v>2.1</v>
      </c>
      <c r="B169" s="111" t="s">
        <v>277</v>
      </c>
      <c r="C169" s="112" t="s">
        <v>365</v>
      </c>
      <c r="D169" s="159">
        <v>10.34</v>
      </c>
    </row>
    <row r="170" spans="1:4" s="172" customFormat="1" ht="15" customHeight="1">
      <c r="A170" s="111">
        <v>2.2999999999999998</v>
      </c>
      <c r="B170" s="111" t="s">
        <v>277</v>
      </c>
      <c r="C170" s="112" t="s">
        <v>366</v>
      </c>
      <c r="D170" s="159">
        <v>2</v>
      </c>
    </row>
    <row r="171" spans="1:4" ht="15" customHeight="1">
      <c r="A171" s="111">
        <v>3.1</v>
      </c>
      <c r="B171" s="111" t="s">
        <v>277</v>
      </c>
      <c r="C171" s="112" t="s">
        <v>319</v>
      </c>
      <c r="D171" s="159">
        <v>1067168.67617108</v>
      </c>
    </row>
    <row r="172" spans="1:4" ht="15" customHeight="1">
      <c r="A172" s="111" t="s">
        <v>320</v>
      </c>
      <c r="B172" s="111" t="s">
        <v>280</v>
      </c>
      <c r="C172" s="112" t="s">
        <v>321</v>
      </c>
      <c r="D172" s="159">
        <v>252</v>
      </c>
    </row>
    <row r="173" spans="1:4" ht="15" customHeight="1">
      <c r="A173" s="111" t="s">
        <v>322</v>
      </c>
      <c r="B173" s="111" t="s">
        <v>280</v>
      </c>
      <c r="C173" s="112" t="s">
        <v>323</v>
      </c>
      <c r="D173" s="159">
        <v>252</v>
      </c>
    </row>
    <row r="174" spans="1:4" s="172" customFormat="1" ht="15" customHeight="1">
      <c r="A174" s="111" t="s">
        <v>454</v>
      </c>
      <c r="B174" s="111" t="s">
        <v>280</v>
      </c>
      <c r="C174" s="112" t="s">
        <v>476</v>
      </c>
      <c r="D174" s="159">
        <v>0</v>
      </c>
    </row>
    <row r="175" spans="1:4" ht="15" customHeight="1">
      <c r="A175" s="111" t="s">
        <v>313</v>
      </c>
      <c r="B175" s="111" t="s">
        <v>280</v>
      </c>
      <c r="C175" s="112" t="s">
        <v>314</v>
      </c>
      <c r="D175" s="159">
        <v>712</v>
      </c>
    </row>
    <row r="176" spans="1:4" s="101" customFormat="1" ht="15" customHeight="1">
      <c r="A176" s="108" t="s">
        <v>483</v>
      </c>
      <c r="B176" s="108"/>
      <c r="C176" s="109"/>
      <c r="D176" s="173"/>
    </row>
    <row r="177" spans="1:4" ht="15" customHeight="1">
      <c r="A177" s="111">
        <v>1.2</v>
      </c>
      <c r="B177" s="111" t="s">
        <v>277</v>
      </c>
      <c r="C177" s="112" t="s">
        <v>318</v>
      </c>
      <c r="D177" s="159">
        <v>158</v>
      </c>
    </row>
    <row r="178" spans="1:4" ht="15" customHeight="1">
      <c r="A178" s="111">
        <v>2.1</v>
      </c>
      <c r="B178" s="111" t="s">
        <v>277</v>
      </c>
      <c r="C178" s="112" t="s">
        <v>365</v>
      </c>
      <c r="D178" s="159">
        <v>40</v>
      </c>
    </row>
    <row r="179" spans="1:4" s="172" customFormat="1" ht="15" customHeight="1">
      <c r="A179" s="111">
        <v>3.1</v>
      </c>
      <c r="B179" s="111" t="s">
        <v>277</v>
      </c>
      <c r="C179" s="112" t="s">
        <v>319</v>
      </c>
      <c r="D179" s="159">
        <v>537239.19999999995</v>
      </c>
    </row>
    <row r="180" spans="1:4" ht="15" customHeight="1">
      <c r="A180" s="111" t="s">
        <v>322</v>
      </c>
      <c r="B180" s="111" t="s">
        <v>280</v>
      </c>
      <c r="C180" s="112" t="s">
        <v>323</v>
      </c>
      <c r="D180" s="159">
        <v>500</v>
      </c>
    </row>
    <row r="181" spans="1:4" ht="15" customHeight="1">
      <c r="A181" s="111" t="s">
        <v>454</v>
      </c>
      <c r="B181" s="111" t="s">
        <v>280</v>
      </c>
      <c r="C181" s="112" t="s">
        <v>476</v>
      </c>
      <c r="D181" s="159">
        <v>0</v>
      </c>
    </row>
    <row r="182" spans="1:4" ht="15" customHeight="1">
      <c r="A182" s="111" t="s">
        <v>326</v>
      </c>
      <c r="B182" s="111" t="s">
        <v>280</v>
      </c>
      <c r="C182" s="112" t="s">
        <v>327</v>
      </c>
      <c r="D182" s="159">
        <v>3</v>
      </c>
    </row>
    <row r="183" spans="1:4" ht="15" customHeight="1">
      <c r="A183" s="111" t="s">
        <v>313</v>
      </c>
      <c r="B183" s="111" t="s">
        <v>280</v>
      </c>
      <c r="C183" s="112" t="s">
        <v>314</v>
      </c>
      <c r="D183" s="159">
        <v>319</v>
      </c>
    </row>
    <row r="184" spans="1:4" s="101" customFormat="1" ht="15" customHeight="1">
      <c r="A184" s="108" t="s">
        <v>484</v>
      </c>
      <c r="B184" s="108"/>
      <c r="C184" s="109"/>
      <c r="D184" s="160"/>
    </row>
    <row r="185" spans="1:4" ht="15" customHeight="1">
      <c r="A185" s="111" t="s">
        <v>339</v>
      </c>
      <c r="B185" s="111" t="s">
        <v>280</v>
      </c>
      <c r="C185" s="112" t="s">
        <v>340</v>
      </c>
      <c r="D185" s="159">
        <v>0</v>
      </c>
    </row>
    <row r="186" spans="1:4" s="101" customFormat="1" ht="15" customHeight="1">
      <c r="A186" s="108" t="s">
        <v>485</v>
      </c>
      <c r="B186" s="108"/>
      <c r="C186" s="109"/>
      <c r="D186" s="173"/>
    </row>
    <row r="187" spans="1:4" s="172" customFormat="1" ht="15" customHeight="1">
      <c r="A187" s="111">
        <v>1.2</v>
      </c>
      <c r="B187" s="111" t="s">
        <v>277</v>
      </c>
      <c r="C187" s="112" t="s">
        <v>318</v>
      </c>
      <c r="D187" s="159">
        <v>1674</v>
      </c>
    </row>
    <row r="188" spans="1:4" ht="15" customHeight="1">
      <c r="A188" s="111">
        <v>2.1</v>
      </c>
      <c r="B188" s="111" t="s">
        <v>277</v>
      </c>
      <c r="C188" s="112" t="s">
        <v>365</v>
      </c>
      <c r="D188" s="159">
        <v>130</v>
      </c>
    </row>
    <row r="189" spans="1:4" ht="15" customHeight="1">
      <c r="A189" s="111">
        <v>2.5</v>
      </c>
      <c r="B189" s="111" t="s">
        <v>277</v>
      </c>
      <c r="C189" s="112" t="s">
        <v>367</v>
      </c>
      <c r="D189" s="159">
        <v>24000</v>
      </c>
    </row>
    <row r="190" spans="1:4" ht="15" customHeight="1">
      <c r="A190" s="111">
        <v>6.1</v>
      </c>
      <c r="B190" s="111" t="s">
        <v>277</v>
      </c>
      <c r="C190" s="112" t="s">
        <v>334</v>
      </c>
      <c r="D190" s="159">
        <v>1</v>
      </c>
    </row>
    <row r="191" spans="1:4" ht="15" customHeight="1">
      <c r="A191" s="111" t="s">
        <v>486</v>
      </c>
      <c r="B191" s="111" t="s">
        <v>280</v>
      </c>
      <c r="C191" s="112" t="s">
        <v>488</v>
      </c>
      <c r="D191" s="159">
        <v>1</v>
      </c>
    </row>
    <row r="192" spans="1:4" s="172" customFormat="1" ht="15" customHeight="1">
      <c r="A192" s="111" t="s">
        <v>454</v>
      </c>
      <c r="B192" s="111" t="s">
        <v>280</v>
      </c>
      <c r="C192" s="112" t="s">
        <v>476</v>
      </c>
      <c r="D192" s="159">
        <v>77000000</v>
      </c>
    </row>
    <row r="193" spans="1:4" s="101" customFormat="1" ht="15" customHeight="1">
      <c r="A193" s="108" t="s">
        <v>487</v>
      </c>
      <c r="B193" s="108"/>
      <c r="C193" s="109"/>
      <c r="D193" s="160"/>
    </row>
    <row r="194" spans="1:4" ht="15" customHeight="1">
      <c r="A194" s="111">
        <v>1.2</v>
      </c>
      <c r="B194" s="108" t="s">
        <v>277</v>
      </c>
      <c r="C194" s="109" t="s">
        <v>318</v>
      </c>
      <c r="D194" s="159">
        <v>3962</v>
      </c>
    </row>
    <row r="195" spans="1:4" ht="15" customHeight="1">
      <c r="A195" s="111">
        <v>3.1</v>
      </c>
      <c r="B195" s="111" t="s">
        <v>277</v>
      </c>
      <c r="C195" s="112" t="s">
        <v>319</v>
      </c>
      <c r="D195" s="161">
        <v>690000</v>
      </c>
    </row>
    <row r="196" spans="1:4" ht="15" customHeight="1">
      <c r="A196" s="111" t="s">
        <v>454</v>
      </c>
      <c r="B196" s="111" t="s">
        <v>280</v>
      </c>
      <c r="C196" s="112" t="s">
        <v>476</v>
      </c>
      <c r="D196" s="161">
        <v>207000000</v>
      </c>
    </row>
    <row r="197" spans="1:4" s="172" customFormat="1" ht="15" customHeight="1">
      <c r="A197" s="111" t="s">
        <v>326</v>
      </c>
      <c r="B197" s="111" t="s">
        <v>280</v>
      </c>
      <c r="C197" s="112" t="s">
        <v>327</v>
      </c>
      <c r="D197" s="159">
        <v>4</v>
      </c>
    </row>
    <row r="198" spans="1:4" ht="15" customHeight="1">
      <c r="A198" s="111" t="s">
        <v>313</v>
      </c>
      <c r="B198" s="111" t="s">
        <v>280</v>
      </c>
      <c r="C198" s="112" t="s">
        <v>314</v>
      </c>
      <c r="D198" s="159">
        <v>354</v>
      </c>
    </row>
    <row r="199" spans="1:4" s="100" customFormat="1" ht="15" customHeight="1">
      <c r="A199" s="105" t="s">
        <v>349</v>
      </c>
      <c r="B199" s="105"/>
      <c r="C199" s="114"/>
      <c r="D199" s="139"/>
    </row>
    <row r="200" spans="1:4" ht="15" customHeight="1">
      <c r="A200" s="115" t="s">
        <v>489</v>
      </c>
      <c r="B200" s="111"/>
      <c r="C200" s="116"/>
      <c r="D200" s="140"/>
    </row>
    <row r="201" spans="1:4" ht="15" customHeight="1">
      <c r="A201" s="118" t="s">
        <v>288</v>
      </c>
      <c r="B201" s="111" t="s">
        <v>280</v>
      </c>
      <c r="C201" s="116" t="s">
        <v>289</v>
      </c>
      <c r="D201" s="140">
        <v>2</v>
      </c>
    </row>
    <row r="202" spans="1:4" s="101" customFormat="1" ht="15" customHeight="1">
      <c r="A202" s="115" t="s">
        <v>490</v>
      </c>
      <c r="B202" s="108"/>
      <c r="C202" s="119"/>
      <c r="D202" s="157"/>
    </row>
    <row r="203" spans="1:4" ht="15" customHeight="1">
      <c r="A203" s="118" t="s">
        <v>491</v>
      </c>
      <c r="B203" s="111" t="s">
        <v>280</v>
      </c>
      <c r="C203" s="116" t="s">
        <v>494</v>
      </c>
      <c r="D203" s="151">
        <v>1</v>
      </c>
    </row>
    <row r="204" spans="1:4" ht="15" customHeight="1">
      <c r="A204" s="118" t="s">
        <v>492</v>
      </c>
      <c r="B204" s="111" t="s">
        <v>280</v>
      </c>
      <c r="C204" s="116" t="s">
        <v>495</v>
      </c>
      <c r="D204" s="161">
        <v>0</v>
      </c>
    </row>
    <row r="205" spans="1:4" s="101" customFormat="1" ht="15" customHeight="1">
      <c r="A205" s="115" t="s">
        <v>493</v>
      </c>
      <c r="B205" s="108"/>
      <c r="C205" s="119"/>
      <c r="D205" s="157"/>
    </row>
    <row r="206" spans="1:4" ht="15" customHeight="1">
      <c r="A206" s="118">
        <v>4.2</v>
      </c>
      <c r="B206" s="111" t="s">
        <v>277</v>
      </c>
      <c r="C206" s="116" t="s">
        <v>278</v>
      </c>
      <c r="D206" s="151">
        <v>7</v>
      </c>
    </row>
    <row r="207" spans="1:4" s="172" customFormat="1" ht="15" customHeight="1">
      <c r="A207" s="118" t="s">
        <v>310</v>
      </c>
      <c r="B207" s="111" t="s">
        <v>280</v>
      </c>
      <c r="C207" s="116" t="s">
        <v>311</v>
      </c>
      <c r="D207" s="151">
        <v>7150</v>
      </c>
    </row>
    <row r="208" spans="1:4" ht="15" customHeight="1">
      <c r="A208" s="118" t="s">
        <v>377</v>
      </c>
      <c r="B208" s="111" t="s">
        <v>280</v>
      </c>
      <c r="C208" s="116" t="s">
        <v>378</v>
      </c>
      <c r="D208" s="151">
        <v>1</v>
      </c>
    </row>
    <row r="209" spans="1:4" ht="15" customHeight="1">
      <c r="A209" s="118" t="s">
        <v>451</v>
      </c>
      <c r="B209" s="111" t="s">
        <v>280</v>
      </c>
      <c r="C209" s="116" t="s">
        <v>475</v>
      </c>
      <c r="D209" s="151">
        <v>3</v>
      </c>
    </row>
  </sheetData>
  <hyperlinks>
    <hyperlink ref="A4" r:id="rId1" xr:uid="{EB857495-FE62-4B4E-9ED1-DDD039CDF608}"/>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86418-A01F-4D66-A088-E0A3D633EDFB}">
  <dimension ref="A1:D181"/>
  <sheetViews>
    <sheetView zoomScale="135" workbookViewId="0">
      <selection activeCell="C23" sqref="C23"/>
    </sheetView>
  </sheetViews>
  <sheetFormatPr baseColWidth="10" defaultColWidth="10.83203125" defaultRowHeight="16"/>
  <cols>
    <col min="1" max="2" width="10.83203125" style="97"/>
    <col min="3" max="3" width="69.6640625" style="97" customWidth="1"/>
    <col min="4" max="4" width="13.5" style="188" customWidth="1"/>
    <col min="5" max="16384" width="10.83203125" style="97"/>
  </cols>
  <sheetData>
    <row r="1" spans="1:4">
      <c r="A1" s="103" t="s">
        <v>0</v>
      </c>
      <c r="B1" s="94"/>
      <c r="C1" s="95"/>
      <c r="D1" s="183"/>
    </row>
    <row r="2" spans="1:4">
      <c r="A2" s="178" t="s">
        <v>497</v>
      </c>
      <c r="B2" s="94"/>
      <c r="C2" s="95"/>
      <c r="D2" s="183"/>
    </row>
    <row r="3" spans="1:4">
      <c r="A3" s="103" t="s">
        <v>269</v>
      </c>
      <c r="B3" s="94"/>
      <c r="C3" s="95"/>
      <c r="D3" s="183"/>
    </row>
    <row r="4" spans="1:4">
      <c r="A4" s="98"/>
      <c r="B4" s="99"/>
      <c r="C4" s="95"/>
      <c r="D4" s="183"/>
    </row>
    <row r="5" spans="1:4">
      <c r="A5" s="121" t="s">
        <v>271</v>
      </c>
      <c r="B5" s="121" t="s">
        <v>272</v>
      </c>
      <c r="C5" s="122" t="s">
        <v>273</v>
      </c>
      <c r="D5" s="184" t="s">
        <v>274</v>
      </c>
    </row>
    <row r="6" spans="1:4" s="100" customFormat="1">
      <c r="A6" s="179" t="s">
        <v>275</v>
      </c>
      <c r="B6" s="179"/>
      <c r="C6" s="180"/>
      <c r="D6" s="185"/>
    </row>
    <row r="7" spans="1:4" customFormat="1" ht="15">
      <c r="A7" s="190" t="s">
        <v>498</v>
      </c>
      <c r="B7" s="111"/>
      <c r="C7" s="84"/>
      <c r="D7" s="183"/>
    </row>
    <row r="8" spans="1:4" customFormat="1" ht="15">
      <c r="A8" s="189">
        <v>1.2</v>
      </c>
      <c r="B8" s="111" t="s">
        <v>277</v>
      </c>
      <c r="C8" s="84" t="s">
        <v>318</v>
      </c>
      <c r="D8" s="183">
        <v>406.81818181818181</v>
      </c>
    </row>
    <row r="9" spans="1:4" customFormat="1" ht="15">
      <c r="A9" s="189">
        <v>3.2</v>
      </c>
      <c r="B9" s="111" t="s">
        <v>277</v>
      </c>
      <c r="C9" s="84" t="s">
        <v>417</v>
      </c>
      <c r="D9" s="183">
        <v>1900000</v>
      </c>
    </row>
    <row r="10" spans="1:4" customFormat="1" ht="15">
      <c r="A10" s="189">
        <v>4.0999999999999996</v>
      </c>
      <c r="B10" s="111" t="s">
        <v>277</v>
      </c>
      <c r="C10" s="84" t="s">
        <v>293</v>
      </c>
      <c r="D10" s="183">
        <v>855000</v>
      </c>
    </row>
    <row r="11" spans="1:4" customFormat="1" ht="15">
      <c r="A11" s="189">
        <v>4.3</v>
      </c>
      <c r="B11" s="111" t="s">
        <v>277</v>
      </c>
      <c r="C11" s="84" t="s">
        <v>294</v>
      </c>
      <c r="D11" s="183">
        <v>3</v>
      </c>
    </row>
    <row r="12" spans="1:4" customFormat="1" ht="15">
      <c r="A12" s="189">
        <v>5.0999999999999996</v>
      </c>
      <c r="B12" s="111" t="s">
        <v>277</v>
      </c>
      <c r="C12" s="84" t="s">
        <v>343</v>
      </c>
      <c r="D12" s="183">
        <v>855000</v>
      </c>
    </row>
    <row r="13" spans="1:4" customFormat="1" ht="15">
      <c r="A13" s="189">
        <v>6.2</v>
      </c>
      <c r="B13" s="111" t="s">
        <v>277</v>
      </c>
      <c r="C13" s="84" t="s">
        <v>303</v>
      </c>
      <c r="D13" s="183">
        <v>1</v>
      </c>
    </row>
    <row r="14" spans="1:4" customFormat="1" ht="15">
      <c r="A14" s="189" t="s">
        <v>454</v>
      </c>
      <c r="B14" s="111" t="s">
        <v>280</v>
      </c>
      <c r="C14" s="84" t="s">
        <v>476</v>
      </c>
      <c r="D14" s="183">
        <v>0</v>
      </c>
    </row>
    <row r="15" spans="1:4" customFormat="1" ht="15">
      <c r="A15" s="189" t="s">
        <v>402</v>
      </c>
      <c r="B15" s="111" t="s">
        <v>280</v>
      </c>
      <c r="C15" s="84" t="s">
        <v>403</v>
      </c>
      <c r="D15" s="183">
        <v>37200</v>
      </c>
    </row>
    <row r="16" spans="1:4" customFormat="1" ht="15">
      <c r="A16" s="189" t="s">
        <v>440</v>
      </c>
      <c r="B16" s="111" t="s">
        <v>280</v>
      </c>
      <c r="C16" s="84" t="s">
        <v>441</v>
      </c>
      <c r="D16" s="183">
        <v>2</v>
      </c>
    </row>
    <row r="17" spans="1:4" customFormat="1" ht="15">
      <c r="A17" s="189" t="s">
        <v>418</v>
      </c>
      <c r="B17" s="111" t="s">
        <v>280</v>
      </c>
      <c r="C17" s="84" t="s">
        <v>419</v>
      </c>
      <c r="D17" s="183">
        <v>97500</v>
      </c>
    </row>
    <row r="18" spans="1:4" customFormat="1" ht="15">
      <c r="A18" s="189" t="s">
        <v>297</v>
      </c>
      <c r="B18" s="111" t="s">
        <v>280</v>
      </c>
      <c r="C18" s="84" t="s">
        <v>298</v>
      </c>
      <c r="D18" s="183">
        <v>2</v>
      </c>
    </row>
    <row r="19" spans="1:4" customFormat="1" ht="15">
      <c r="A19" s="189" t="s">
        <v>299</v>
      </c>
      <c r="B19" s="111" t="s">
        <v>280</v>
      </c>
      <c r="C19" s="84" t="s">
        <v>300</v>
      </c>
      <c r="D19" s="183">
        <v>1</v>
      </c>
    </row>
    <row r="20" spans="1:4" customFormat="1" ht="15">
      <c r="A20" s="189" t="s">
        <v>310</v>
      </c>
      <c r="B20" s="111" t="s">
        <v>280</v>
      </c>
      <c r="C20" s="84" t="s">
        <v>311</v>
      </c>
      <c r="D20" s="183">
        <v>1848</v>
      </c>
    </row>
    <row r="21" spans="1:4" customFormat="1" ht="15">
      <c r="A21" s="189" t="s">
        <v>370</v>
      </c>
      <c r="B21" s="111" t="s">
        <v>280</v>
      </c>
      <c r="C21" s="84" t="s">
        <v>371</v>
      </c>
      <c r="D21" s="183">
        <v>1</v>
      </c>
    </row>
    <row r="22" spans="1:4" customFormat="1" ht="15">
      <c r="A22" s="190" t="s">
        <v>499</v>
      </c>
      <c r="B22" s="111"/>
      <c r="C22" s="84"/>
      <c r="D22" s="183"/>
    </row>
    <row r="23" spans="1:4" customFormat="1" ht="15">
      <c r="A23" s="189" t="s">
        <v>326</v>
      </c>
      <c r="B23" s="111" t="s">
        <v>280</v>
      </c>
      <c r="C23" s="84" t="s">
        <v>327</v>
      </c>
      <c r="D23" s="183">
        <v>1</v>
      </c>
    </row>
    <row r="24" spans="1:4" customFormat="1" ht="15">
      <c r="A24" s="189" t="s">
        <v>313</v>
      </c>
      <c r="B24" s="111" t="s">
        <v>280</v>
      </c>
      <c r="C24" s="84" t="s">
        <v>314</v>
      </c>
      <c r="D24" s="183">
        <v>70</v>
      </c>
    </row>
    <row r="25" spans="1:4" customFormat="1" ht="15">
      <c r="A25" s="189" t="s">
        <v>315</v>
      </c>
      <c r="B25" s="111" t="s">
        <v>280</v>
      </c>
      <c r="C25" s="84" t="s">
        <v>316</v>
      </c>
      <c r="D25" s="183">
        <v>1</v>
      </c>
    </row>
    <row r="26" spans="1:4" customFormat="1" ht="15">
      <c r="A26" s="189" t="s">
        <v>310</v>
      </c>
      <c r="B26" s="111" t="s">
        <v>280</v>
      </c>
      <c r="C26" s="84" t="s">
        <v>311</v>
      </c>
      <c r="D26" s="183">
        <v>70</v>
      </c>
    </row>
    <row r="27" spans="1:4" customFormat="1" ht="15">
      <c r="A27" s="189" t="s">
        <v>451</v>
      </c>
      <c r="B27" s="111" t="s">
        <v>280</v>
      </c>
      <c r="C27" s="84" t="s">
        <v>475</v>
      </c>
      <c r="D27" s="183">
        <v>1</v>
      </c>
    </row>
    <row r="28" spans="1:4" customFormat="1" ht="15">
      <c r="A28" s="190" t="s">
        <v>500</v>
      </c>
      <c r="B28" s="111"/>
      <c r="C28" s="84"/>
      <c r="D28" s="183"/>
    </row>
    <row r="29" spans="1:4" customFormat="1" ht="15">
      <c r="A29" s="189">
        <v>3.1</v>
      </c>
      <c r="B29" s="111" t="s">
        <v>277</v>
      </c>
      <c r="C29" s="84" t="s">
        <v>319</v>
      </c>
      <c r="D29" s="183">
        <v>110000</v>
      </c>
    </row>
    <row r="30" spans="1:4" customFormat="1" ht="15">
      <c r="A30" s="189">
        <v>6.2</v>
      </c>
      <c r="B30" s="111" t="s">
        <v>277</v>
      </c>
      <c r="C30" s="84" t="s">
        <v>303</v>
      </c>
      <c r="D30" s="183">
        <v>1</v>
      </c>
    </row>
    <row r="31" spans="1:4" customFormat="1" ht="15">
      <c r="A31" s="189" t="s">
        <v>304</v>
      </c>
      <c r="B31" s="111" t="s">
        <v>280</v>
      </c>
      <c r="C31" s="84" t="s">
        <v>305</v>
      </c>
      <c r="D31" s="183">
        <v>1</v>
      </c>
    </row>
    <row r="32" spans="1:4" customFormat="1" ht="15">
      <c r="A32" s="189" t="s">
        <v>454</v>
      </c>
      <c r="B32" s="111" t="s">
        <v>280</v>
      </c>
      <c r="C32" s="84" t="s">
        <v>476</v>
      </c>
      <c r="D32" s="183">
        <v>1642500</v>
      </c>
    </row>
    <row r="33" spans="1:4" customFormat="1" ht="15">
      <c r="A33" s="189" t="s">
        <v>286</v>
      </c>
      <c r="B33" s="111" t="s">
        <v>280</v>
      </c>
      <c r="C33" s="84" t="s">
        <v>287</v>
      </c>
      <c r="D33" s="183">
        <v>1</v>
      </c>
    </row>
    <row r="34" spans="1:4" customFormat="1" ht="15">
      <c r="A34" s="189" t="s">
        <v>295</v>
      </c>
      <c r="B34" s="111" t="s">
        <v>280</v>
      </c>
      <c r="C34" s="84" t="s">
        <v>296</v>
      </c>
      <c r="D34" s="183">
        <v>4</v>
      </c>
    </row>
    <row r="35" spans="1:4" customFormat="1" ht="15">
      <c r="A35" s="189" t="s">
        <v>288</v>
      </c>
      <c r="B35" s="111" t="s">
        <v>280</v>
      </c>
      <c r="C35" s="84" t="s">
        <v>289</v>
      </c>
      <c r="D35" s="183">
        <v>1</v>
      </c>
    </row>
    <row r="36" spans="1:4" customFormat="1" ht="15">
      <c r="A36" s="190" t="s">
        <v>501</v>
      </c>
      <c r="B36" s="111"/>
      <c r="C36" s="84"/>
      <c r="D36" s="183"/>
    </row>
    <row r="37" spans="1:4" customFormat="1" ht="15">
      <c r="A37" s="189">
        <v>1.2</v>
      </c>
      <c r="B37" s="111" t="s">
        <v>277</v>
      </c>
      <c r="C37" s="84" t="s">
        <v>318</v>
      </c>
      <c r="D37" s="183">
        <v>4219</v>
      </c>
    </row>
    <row r="38" spans="1:4" customFormat="1" ht="15">
      <c r="A38" s="189">
        <v>1.3</v>
      </c>
      <c r="B38" s="111" t="s">
        <v>277</v>
      </c>
      <c r="C38" s="84" t="s">
        <v>291</v>
      </c>
      <c r="D38" s="183">
        <v>1492980.06</v>
      </c>
    </row>
    <row r="39" spans="1:4" customFormat="1" ht="15">
      <c r="A39" s="189">
        <v>4.0999999999999996</v>
      </c>
      <c r="B39" s="111" t="s">
        <v>277</v>
      </c>
      <c r="C39" s="84" t="s">
        <v>293</v>
      </c>
      <c r="D39" s="183">
        <v>1357254.5999999999</v>
      </c>
    </row>
    <row r="40" spans="1:4" customFormat="1" ht="15">
      <c r="A40" s="189">
        <v>5.0999999999999996</v>
      </c>
      <c r="B40" s="111" t="s">
        <v>277</v>
      </c>
      <c r="C40" s="84" t="s">
        <v>343</v>
      </c>
      <c r="D40" s="183">
        <v>2714509.1999999997</v>
      </c>
    </row>
    <row r="41" spans="1:4" customFormat="1" ht="15">
      <c r="A41" s="189">
        <v>6.2</v>
      </c>
      <c r="B41" s="111" t="s">
        <v>277</v>
      </c>
      <c r="C41" s="84" t="s">
        <v>303</v>
      </c>
      <c r="D41" s="183">
        <v>1</v>
      </c>
    </row>
    <row r="42" spans="1:4" customFormat="1" ht="15">
      <c r="A42" s="189" t="s">
        <v>308</v>
      </c>
      <c r="B42" s="111" t="s">
        <v>280</v>
      </c>
      <c r="C42" s="84" t="s">
        <v>309</v>
      </c>
      <c r="D42" s="183">
        <v>1</v>
      </c>
    </row>
    <row r="43" spans="1:4" customFormat="1" ht="15">
      <c r="A43" s="189" t="s">
        <v>282</v>
      </c>
      <c r="B43" s="111" t="s">
        <v>280</v>
      </c>
      <c r="C43" s="84" t="s">
        <v>283</v>
      </c>
      <c r="D43" s="183">
        <v>1</v>
      </c>
    </row>
    <row r="44" spans="1:4" customFormat="1" ht="15">
      <c r="A44" s="189" t="s">
        <v>362</v>
      </c>
      <c r="B44" s="111" t="s">
        <v>280</v>
      </c>
      <c r="C44" s="84" t="s">
        <v>363</v>
      </c>
      <c r="D44" s="183">
        <v>3</v>
      </c>
    </row>
    <row r="45" spans="1:4" customFormat="1" ht="15">
      <c r="A45" s="190" t="s">
        <v>502</v>
      </c>
      <c r="B45" s="111"/>
      <c r="C45" s="84"/>
      <c r="D45" s="183"/>
    </row>
    <row r="46" spans="1:4" customFormat="1" ht="15">
      <c r="A46" s="189">
        <v>1.3</v>
      </c>
      <c r="B46" s="111" t="s">
        <v>277</v>
      </c>
      <c r="C46" s="84" t="s">
        <v>291</v>
      </c>
      <c r="D46" s="183">
        <v>169772</v>
      </c>
    </row>
    <row r="47" spans="1:4" customFormat="1" ht="15">
      <c r="A47" s="189">
        <v>2.2000000000000002</v>
      </c>
      <c r="B47" s="111" t="s">
        <v>277</v>
      </c>
      <c r="C47" s="84" t="s">
        <v>342</v>
      </c>
      <c r="D47" s="183">
        <v>151</v>
      </c>
    </row>
    <row r="48" spans="1:4" customFormat="1" ht="15">
      <c r="A48" s="189">
        <v>2.5</v>
      </c>
      <c r="B48" s="111" t="s">
        <v>277</v>
      </c>
      <c r="C48" s="84" t="s">
        <v>367</v>
      </c>
      <c r="D48" s="183">
        <v>508258</v>
      </c>
    </row>
    <row r="49" spans="1:4" customFormat="1" ht="15">
      <c r="A49" s="189">
        <v>3.2</v>
      </c>
      <c r="B49" s="111" t="s">
        <v>277</v>
      </c>
      <c r="C49" s="84" t="s">
        <v>417</v>
      </c>
      <c r="D49" s="183">
        <v>1018559</v>
      </c>
    </row>
    <row r="50" spans="1:4" customFormat="1" ht="15">
      <c r="A50" s="189">
        <v>5.0999999999999996</v>
      </c>
      <c r="B50" s="111" t="s">
        <v>277</v>
      </c>
      <c r="C50" s="84" t="s">
        <v>343</v>
      </c>
      <c r="D50" s="183">
        <v>1018559</v>
      </c>
    </row>
    <row r="51" spans="1:4" customFormat="1" ht="15">
      <c r="A51" s="189">
        <v>5.3</v>
      </c>
      <c r="B51" s="111" t="s">
        <v>277</v>
      </c>
      <c r="C51" s="84" t="s">
        <v>479</v>
      </c>
      <c r="D51" s="183">
        <v>65297</v>
      </c>
    </row>
    <row r="52" spans="1:4" customFormat="1" ht="15">
      <c r="A52" s="189" t="s">
        <v>304</v>
      </c>
      <c r="B52" s="111" t="s">
        <v>280</v>
      </c>
      <c r="C52" s="84" t="s">
        <v>305</v>
      </c>
      <c r="D52" s="183">
        <v>20</v>
      </c>
    </row>
    <row r="53" spans="1:4" customFormat="1" ht="15">
      <c r="A53" s="189" t="s">
        <v>454</v>
      </c>
      <c r="B53" s="111" t="s">
        <v>280</v>
      </c>
      <c r="C53" s="84" t="s">
        <v>476</v>
      </c>
      <c r="D53" s="183">
        <v>0</v>
      </c>
    </row>
    <row r="54" spans="1:4" customFormat="1" ht="15">
      <c r="A54" s="189" t="s">
        <v>402</v>
      </c>
      <c r="B54" s="111" t="s">
        <v>280</v>
      </c>
      <c r="C54" s="84" t="s">
        <v>403</v>
      </c>
      <c r="D54" s="183">
        <v>14914</v>
      </c>
    </row>
    <row r="55" spans="1:4" customFormat="1" ht="15">
      <c r="A55" s="189" t="s">
        <v>282</v>
      </c>
      <c r="B55" s="111" t="s">
        <v>280</v>
      </c>
      <c r="C55" s="84" t="s">
        <v>283</v>
      </c>
      <c r="D55" s="183">
        <v>20</v>
      </c>
    </row>
    <row r="56" spans="1:4" customFormat="1" ht="15">
      <c r="A56" s="189" t="s">
        <v>315</v>
      </c>
      <c r="B56" s="111" t="s">
        <v>280</v>
      </c>
      <c r="C56" s="84" t="s">
        <v>316</v>
      </c>
      <c r="D56" s="183">
        <v>20</v>
      </c>
    </row>
    <row r="57" spans="1:4" customFormat="1" ht="15">
      <c r="A57" s="189" t="s">
        <v>310</v>
      </c>
      <c r="B57" s="111" t="s">
        <v>280</v>
      </c>
      <c r="C57" s="84" t="s">
        <v>311</v>
      </c>
      <c r="D57" s="183">
        <v>630</v>
      </c>
    </row>
    <row r="58" spans="1:4" customFormat="1" ht="15">
      <c r="A58" s="189" t="s">
        <v>370</v>
      </c>
      <c r="B58" s="111" t="s">
        <v>280</v>
      </c>
      <c r="C58" s="84" t="s">
        <v>371</v>
      </c>
      <c r="D58" s="183">
        <v>1</v>
      </c>
    </row>
    <row r="59" spans="1:4" customFormat="1" ht="15">
      <c r="A59" s="190" t="s">
        <v>503</v>
      </c>
      <c r="B59" s="111"/>
      <c r="C59" s="84"/>
      <c r="D59" s="183"/>
    </row>
    <row r="60" spans="1:4" customFormat="1" ht="15">
      <c r="A60" s="189">
        <v>3.1</v>
      </c>
      <c r="B60" s="111" t="s">
        <v>277</v>
      </c>
      <c r="C60" s="84" t="s">
        <v>319</v>
      </c>
      <c r="D60" s="183">
        <v>13970548</v>
      </c>
    </row>
    <row r="61" spans="1:4" customFormat="1" ht="15">
      <c r="A61" s="189">
        <v>6.2</v>
      </c>
      <c r="B61" s="111" t="s">
        <v>277</v>
      </c>
      <c r="C61" s="84" t="s">
        <v>303</v>
      </c>
      <c r="D61" s="183">
        <v>1</v>
      </c>
    </row>
    <row r="62" spans="1:4" customFormat="1" ht="15">
      <c r="A62" s="189" t="s">
        <v>454</v>
      </c>
      <c r="B62" s="111" t="s">
        <v>280</v>
      </c>
      <c r="C62" s="84" t="s">
        <v>476</v>
      </c>
      <c r="D62" s="183">
        <v>691249566</v>
      </c>
    </row>
    <row r="63" spans="1:4" customFormat="1" ht="15">
      <c r="A63" s="189" t="s">
        <v>326</v>
      </c>
      <c r="B63" s="111" t="s">
        <v>280</v>
      </c>
      <c r="C63" s="84" t="s">
        <v>327</v>
      </c>
      <c r="D63" s="183">
        <v>12</v>
      </c>
    </row>
    <row r="64" spans="1:4" customFormat="1" ht="15">
      <c r="A64" s="189" t="s">
        <v>313</v>
      </c>
      <c r="B64" s="111" t="s">
        <v>280</v>
      </c>
      <c r="C64" s="84" t="s">
        <v>314</v>
      </c>
      <c r="D64" s="183">
        <v>4500</v>
      </c>
    </row>
    <row r="65" spans="1:4" customFormat="1" ht="15">
      <c r="A65" s="190" t="s">
        <v>504</v>
      </c>
      <c r="B65" s="111"/>
      <c r="C65" s="84"/>
      <c r="D65" s="183"/>
    </row>
    <row r="66" spans="1:4" customFormat="1" ht="15">
      <c r="A66" s="189">
        <v>1.3</v>
      </c>
      <c r="B66" s="111" t="s">
        <v>277</v>
      </c>
      <c r="C66" s="84" t="s">
        <v>291</v>
      </c>
      <c r="D66" s="183">
        <v>33175</v>
      </c>
    </row>
    <row r="67" spans="1:4" customFormat="1" ht="15">
      <c r="A67" s="189">
        <v>3.1</v>
      </c>
      <c r="B67" s="111" t="s">
        <v>277</v>
      </c>
      <c r="C67" s="84" t="s">
        <v>319</v>
      </c>
      <c r="D67" s="183">
        <v>3494</v>
      </c>
    </row>
    <row r="68" spans="1:4" customFormat="1" ht="15">
      <c r="A68" s="189">
        <v>3.3</v>
      </c>
      <c r="B68" s="111" t="s">
        <v>277</v>
      </c>
      <c r="C68" s="84" t="s">
        <v>292</v>
      </c>
      <c r="D68" s="183">
        <v>33175</v>
      </c>
    </row>
    <row r="69" spans="1:4" customFormat="1" ht="15">
      <c r="A69" s="189">
        <v>4.0999999999999996</v>
      </c>
      <c r="B69" s="111" t="s">
        <v>277</v>
      </c>
      <c r="C69" s="84" t="s">
        <v>293</v>
      </c>
      <c r="D69" s="183">
        <v>33175</v>
      </c>
    </row>
    <row r="70" spans="1:4" customFormat="1" ht="15">
      <c r="A70" s="189" t="s">
        <v>304</v>
      </c>
      <c r="B70" s="111" t="s">
        <v>280</v>
      </c>
      <c r="C70" s="84" t="s">
        <v>305</v>
      </c>
      <c r="D70" s="183">
        <v>1</v>
      </c>
    </row>
    <row r="71" spans="1:4" customFormat="1" ht="15">
      <c r="A71" s="189" t="s">
        <v>308</v>
      </c>
      <c r="B71" s="111" t="s">
        <v>280</v>
      </c>
      <c r="C71" s="84" t="s">
        <v>309</v>
      </c>
      <c r="D71" s="183">
        <v>1</v>
      </c>
    </row>
    <row r="72" spans="1:4" customFormat="1" ht="15">
      <c r="A72" s="189" t="s">
        <v>454</v>
      </c>
      <c r="B72" s="111" t="s">
        <v>280</v>
      </c>
      <c r="C72" s="84" t="s">
        <v>476</v>
      </c>
      <c r="D72" s="183">
        <v>7258000</v>
      </c>
    </row>
    <row r="73" spans="1:4" customFormat="1" ht="15">
      <c r="A73" s="189" t="s">
        <v>326</v>
      </c>
      <c r="B73" s="111" t="s">
        <v>280</v>
      </c>
      <c r="C73" s="84" t="s">
        <v>327</v>
      </c>
      <c r="D73" s="183">
        <v>1</v>
      </c>
    </row>
    <row r="74" spans="1:4" customFormat="1" ht="15">
      <c r="A74" s="189" t="s">
        <v>295</v>
      </c>
      <c r="B74" s="111" t="s">
        <v>280</v>
      </c>
      <c r="C74" s="84" t="s">
        <v>296</v>
      </c>
      <c r="D74" s="183">
        <v>1</v>
      </c>
    </row>
    <row r="75" spans="1:4" customFormat="1" ht="15">
      <c r="A75" s="189" t="s">
        <v>310</v>
      </c>
      <c r="B75" s="111" t="s">
        <v>280</v>
      </c>
      <c r="C75" s="84" t="s">
        <v>311</v>
      </c>
      <c r="D75" s="183">
        <v>20</v>
      </c>
    </row>
    <row r="76" spans="1:4" customFormat="1" ht="15">
      <c r="A76" s="190" t="s">
        <v>505</v>
      </c>
      <c r="B76" s="111"/>
      <c r="C76" s="84"/>
      <c r="D76" s="183"/>
    </row>
    <row r="77" spans="1:4" customFormat="1" ht="15">
      <c r="A77" s="189">
        <v>1.3</v>
      </c>
      <c r="B77" s="111" t="s">
        <v>277</v>
      </c>
      <c r="C77" s="84" t="s">
        <v>291</v>
      </c>
      <c r="D77" s="183">
        <v>86000000</v>
      </c>
    </row>
    <row r="78" spans="1:4" customFormat="1" ht="15">
      <c r="A78" s="189">
        <v>3.1</v>
      </c>
      <c r="B78" s="111" t="s">
        <v>277</v>
      </c>
      <c r="C78" s="84" t="s">
        <v>319</v>
      </c>
      <c r="D78" s="183">
        <v>108576</v>
      </c>
    </row>
    <row r="79" spans="1:4" customFormat="1" ht="15">
      <c r="A79" s="189">
        <v>4.0999999999999996</v>
      </c>
      <c r="B79" s="111" t="s">
        <v>277</v>
      </c>
      <c r="C79" s="84" t="s">
        <v>293</v>
      </c>
      <c r="D79" s="183">
        <v>21500000</v>
      </c>
    </row>
    <row r="80" spans="1:4" customFormat="1" ht="15">
      <c r="A80" s="189">
        <v>5.0999999999999996</v>
      </c>
      <c r="B80" s="111" t="s">
        <v>277</v>
      </c>
      <c r="C80" s="84" t="s">
        <v>343</v>
      </c>
      <c r="D80" s="183">
        <v>60199999.999999993</v>
      </c>
    </row>
    <row r="81" spans="1:4" customFormat="1" ht="15">
      <c r="A81" s="189">
        <v>6.1</v>
      </c>
      <c r="B81" s="111" t="s">
        <v>277</v>
      </c>
      <c r="C81" s="84" t="s">
        <v>334</v>
      </c>
      <c r="D81" s="183">
        <v>4</v>
      </c>
    </row>
    <row r="82" spans="1:4" customFormat="1" ht="15">
      <c r="A82" s="189" t="s">
        <v>304</v>
      </c>
      <c r="B82" s="111" t="s">
        <v>280</v>
      </c>
      <c r="C82" s="84" t="s">
        <v>305</v>
      </c>
      <c r="D82" s="183">
        <v>3</v>
      </c>
    </row>
    <row r="83" spans="1:4" customFormat="1" ht="15">
      <c r="A83" s="189" t="s">
        <v>308</v>
      </c>
      <c r="B83" s="111" t="s">
        <v>280</v>
      </c>
      <c r="C83" s="84" t="s">
        <v>309</v>
      </c>
      <c r="D83" s="183">
        <v>3</v>
      </c>
    </row>
    <row r="84" spans="1:4" customFormat="1" ht="15">
      <c r="A84" s="189" t="s">
        <v>454</v>
      </c>
      <c r="B84" s="111" t="s">
        <v>280</v>
      </c>
      <c r="C84" s="84" t="s">
        <v>476</v>
      </c>
      <c r="D84" s="183">
        <v>18138680.684828799</v>
      </c>
    </row>
    <row r="85" spans="1:4" customFormat="1" ht="15">
      <c r="A85" s="189" t="s">
        <v>295</v>
      </c>
      <c r="B85" s="111" t="s">
        <v>280</v>
      </c>
      <c r="C85" s="84" t="s">
        <v>296</v>
      </c>
      <c r="D85" s="183">
        <v>3</v>
      </c>
    </row>
    <row r="86" spans="1:4" customFormat="1" ht="15">
      <c r="A86" s="189" t="s">
        <v>315</v>
      </c>
      <c r="B86" s="111" t="s">
        <v>280</v>
      </c>
      <c r="C86" s="84" t="s">
        <v>316</v>
      </c>
      <c r="D86" s="183">
        <v>1</v>
      </c>
    </row>
    <row r="87" spans="1:4" customFormat="1" ht="15">
      <c r="A87" s="190" t="s">
        <v>506</v>
      </c>
      <c r="B87" s="111"/>
      <c r="C87" s="84"/>
      <c r="D87" s="183"/>
    </row>
    <row r="88" spans="1:4" customFormat="1" ht="15">
      <c r="A88" s="189">
        <v>1.2</v>
      </c>
      <c r="B88" s="111" t="s">
        <v>277</v>
      </c>
      <c r="C88" s="84" t="s">
        <v>318</v>
      </c>
      <c r="D88" s="183">
        <v>10454</v>
      </c>
    </row>
    <row r="89" spans="1:4" customFormat="1" ht="15">
      <c r="A89" s="189">
        <v>1.3</v>
      </c>
      <c r="B89" s="111" t="s">
        <v>277</v>
      </c>
      <c r="C89" s="84" t="s">
        <v>291</v>
      </c>
      <c r="D89" s="183">
        <v>1525298</v>
      </c>
    </row>
    <row r="90" spans="1:4" customFormat="1" ht="15">
      <c r="A90" s="189">
        <v>2.2000000000000002</v>
      </c>
      <c r="B90" s="111" t="s">
        <v>277</v>
      </c>
      <c r="C90" s="84" t="s">
        <v>342</v>
      </c>
      <c r="D90" s="183">
        <v>1223</v>
      </c>
    </row>
    <row r="91" spans="1:4" customFormat="1" ht="15">
      <c r="A91" s="189">
        <v>3.3</v>
      </c>
      <c r="B91" s="111" t="s">
        <v>277</v>
      </c>
      <c r="C91" s="84" t="s">
        <v>292</v>
      </c>
      <c r="D91" s="183">
        <v>909742</v>
      </c>
    </row>
    <row r="92" spans="1:4" customFormat="1" ht="15">
      <c r="A92" s="189">
        <v>4.0999999999999996</v>
      </c>
      <c r="B92" s="111" t="s">
        <v>277</v>
      </c>
      <c r="C92" s="84" t="s">
        <v>293</v>
      </c>
      <c r="D92" s="183">
        <v>1525298</v>
      </c>
    </row>
    <row r="93" spans="1:4" customFormat="1" ht="15">
      <c r="A93" s="189">
        <v>4.2</v>
      </c>
      <c r="B93" s="111" t="s">
        <v>277</v>
      </c>
      <c r="C93" s="84" t="s">
        <v>278</v>
      </c>
      <c r="D93" s="183">
        <v>11</v>
      </c>
    </row>
    <row r="94" spans="1:4" customFormat="1" ht="15">
      <c r="A94" s="189">
        <v>6.2</v>
      </c>
      <c r="B94" s="111" t="s">
        <v>277</v>
      </c>
      <c r="C94" s="84" t="s">
        <v>303</v>
      </c>
      <c r="D94" s="183">
        <v>11</v>
      </c>
    </row>
    <row r="95" spans="1:4" customFormat="1" ht="15">
      <c r="A95" s="189" t="s">
        <v>304</v>
      </c>
      <c r="B95" s="111" t="s">
        <v>280</v>
      </c>
      <c r="C95" s="84" t="s">
        <v>305</v>
      </c>
      <c r="D95" s="183">
        <v>24</v>
      </c>
    </row>
    <row r="96" spans="1:4" customFormat="1" ht="15">
      <c r="A96" s="189" t="s">
        <v>306</v>
      </c>
      <c r="B96" s="111" t="s">
        <v>280</v>
      </c>
      <c r="C96" s="84" t="s">
        <v>307</v>
      </c>
      <c r="D96" s="183">
        <v>58495.081188118813</v>
      </c>
    </row>
    <row r="97" spans="1:4" customFormat="1" ht="15">
      <c r="A97" s="189" t="s">
        <v>328</v>
      </c>
      <c r="B97" s="111" t="s">
        <v>280</v>
      </c>
      <c r="C97" s="84" t="s">
        <v>329</v>
      </c>
      <c r="D97" s="183">
        <v>20</v>
      </c>
    </row>
    <row r="98" spans="1:4" customFormat="1" ht="15">
      <c r="A98" s="189" t="s">
        <v>295</v>
      </c>
      <c r="B98" s="111" t="s">
        <v>280</v>
      </c>
      <c r="C98" s="84" t="s">
        <v>296</v>
      </c>
      <c r="D98" s="183">
        <v>24</v>
      </c>
    </row>
    <row r="99" spans="1:4" customFormat="1" ht="15">
      <c r="A99" s="189" t="s">
        <v>460</v>
      </c>
      <c r="B99" s="111" t="s">
        <v>280</v>
      </c>
      <c r="C99" s="84" t="s">
        <v>478</v>
      </c>
      <c r="D99" s="183">
        <v>6</v>
      </c>
    </row>
    <row r="100" spans="1:4" customFormat="1" ht="15">
      <c r="A100" s="189" t="s">
        <v>299</v>
      </c>
      <c r="B100" s="111" t="s">
        <v>280</v>
      </c>
      <c r="C100" s="84" t="s">
        <v>300</v>
      </c>
      <c r="D100" s="183">
        <v>1</v>
      </c>
    </row>
    <row r="101" spans="1:4" customFormat="1" ht="15">
      <c r="A101" s="189" t="s">
        <v>310</v>
      </c>
      <c r="B101" s="111" t="s">
        <v>280</v>
      </c>
      <c r="C101" s="84" t="s">
        <v>311</v>
      </c>
      <c r="D101" s="183">
        <v>188</v>
      </c>
    </row>
    <row r="102" spans="1:4" customFormat="1" ht="15">
      <c r="A102" s="189" t="s">
        <v>362</v>
      </c>
      <c r="B102" s="111" t="s">
        <v>280</v>
      </c>
      <c r="C102" s="84" t="s">
        <v>363</v>
      </c>
      <c r="D102" s="183">
        <v>6</v>
      </c>
    </row>
    <row r="103" spans="1:4" customFormat="1" ht="15">
      <c r="A103" s="190" t="s">
        <v>507</v>
      </c>
      <c r="B103" s="111"/>
      <c r="C103" s="84"/>
      <c r="D103" s="183"/>
    </row>
    <row r="104" spans="1:4" customFormat="1" ht="15">
      <c r="A104" s="189">
        <v>6.2</v>
      </c>
      <c r="B104" s="111" t="s">
        <v>277</v>
      </c>
      <c r="C104" s="84" t="s">
        <v>303</v>
      </c>
      <c r="D104" s="183">
        <v>1</v>
      </c>
    </row>
    <row r="105" spans="1:4" customFormat="1" ht="15">
      <c r="A105" s="189" t="s">
        <v>304</v>
      </c>
      <c r="B105" s="111" t="s">
        <v>280</v>
      </c>
      <c r="C105" s="84" t="s">
        <v>305</v>
      </c>
      <c r="D105" s="183">
        <v>3</v>
      </c>
    </row>
    <row r="106" spans="1:4" customFormat="1" ht="15">
      <c r="A106" s="189" t="s">
        <v>282</v>
      </c>
      <c r="B106" s="111" t="s">
        <v>280</v>
      </c>
      <c r="C106" s="84" t="s">
        <v>283</v>
      </c>
      <c r="D106" s="183">
        <v>3</v>
      </c>
    </row>
    <row r="107" spans="1:4" customFormat="1" ht="15">
      <c r="A107" s="189" t="s">
        <v>315</v>
      </c>
      <c r="B107" s="111" t="s">
        <v>280</v>
      </c>
      <c r="C107" s="84" t="s">
        <v>316</v>
      </c>
      <c r="D107" s="183">
        <v>3</v>
      </c>
    </row>
    <row r="108" spans="1:4" customFormat="1" ht="15">
      <c r="A108" s="190" t="s">
        <v>508</v>
      </c>
      <c r="B108" s="111"/>
      <c r="C108" s="84"/>
      <c r="D108" s="183"/>
    </row>
    <row r="109" spans="1:4" customFormat="1" ht="15">
      <c r="A109" s="189">
        <v>2.4</v>
      </c>
      <c r="B109" s="111" t="s">
        <v>277</v>
      </c>
      <c r="C109" s="84" t="s">
        <v>302</v>
      </c>
      <c r="D109" s="183">
        <v>1087858</v>
      </c>
    </row>
    <row r="110" spans="1:4" customFormat="1" ht="15">
      <c r="A110" s="189">
        <v>5.0999999999999996</v>
      </c>
      <c r="B110" s="111" t="s">
        <v>277</v>
      </c>
      <c r="C110" s="84" t="s">
        <v>343</v>
      </c>
      <c r="D110" s="183">
        <v>8557.380000000001</v>
      </c>
    </row>
    <row r="111" spans="1:4" customFormat="1" ht="15">
      <c r="A111" s="189">
        <v>6.2</v>
      </c>
      <c r="B111" s="111" t="s">
        <v>277</v>
      </c>
      <c r="C111" s="84" t="s">
        <v>303</v>
      </c>
      <c r="D111" s="183">
        <v>5</v>
      </c>
    </row>
    <row r="112" spans="1:4" customFormat="1" ht="15">
      <c r="A112" s="189" t="s">
        <v>322</v>
      </c>
      <c r="B112" s="111" t="s">
        <v>280</v>
      </c>
      <c r="C112" s="84" t="s">
        <v>323</v>
      </c>
      <c r="D112" s="183">
        <v>831.66669999999999</v>
      </c>
    </row>
    <row r="113" spans="1:4" customFormat="1" ht="15">
      <c r="A113" s="189" t="s">
        <v>279</v>
      </c>
      <c r="B113" s="111" t="s">
        <v>280</v>
      </c>
      <c r="C113" s="84" t="s">
        <v>281</v>
      </c>
      <c r="D113" s="183">
        <v>2</v>
      </c>
    </row>
    <row r="114" spans="1:4" customFormat="1" ht="15">
      <c r="A114" s="189" t="s">
        <v>308</v>
      </c>
      <c r="B114" s="111" t="s">
        <v>280</v>
      </c>
      <c r="C114" s="84" t="s">
        <v>309</v>
      </c>
      <c r="D114" s="183">
        <v>5</v>
      </c>
    </row>
    <row r="115" spans="1:4" customFormat="1" ht="15">
      <c r="A115" s="189" t="s">
        <v>454</v>
      </c>
      <c r="B115" s="111" t="s">
        <v>280</v>
      </c>
      <c r="C115" s="84" t="s">
        <v>476</v>
      </c>
      <c r="D115" s="183">
        <v>0</v>
      </c>
    </row>
    <row r="116" spans="1:4" customFormat="1" ht="15">
      <c r="A116" s="189" t="s">
        <v>282</v>
      </c>
      <c r="B116" s="111" t="s">
        <v>280</v>
      </c>
      <c r="C116" s="84" t="s">
        <v>283</v>
      </c>
      <c r="D116" s="183">
        <v>5</v>
      </c>
    </row>
    <row r="117" spans="1:4" customFormat="1" ht="15">
      <c r="A117" s="189" t="s">
        <v>315</v>
      </c>
      <c r="B117" s="111" t="s">
        <v>280</v>
      </c>
      <c r="C117" s="84" t="s">
        <v>316</v>
      </c>
      <c r="D117" s="183">
        <v>5</v>
      </c>
    </row>
    <row r="118" spans="1:4" customFormat="1" ht="15">
      <c r="A118" s="189" t="s">
        <v>310</v>
      </c>
      <c r="B118" s="111" t="s">
        <v>280</v>
      </c>
      <c r="C118" s="84" t="s">
        <v>311</v>
      </c>
      <c r="D118" s="183">
        <v>4799</v>
      </c>
    </row>
    <row r="119" spans="1:4" customFormat="1" ht="15">
      <c r="A119" s="190" t="s">
        <v>509</v>
      </c>
      <c r="B119" s="111"/>
      <c r="C119" s="84"/>
      <c r="D119" s="183"/>
    </row>
    <row r="120" spans="1:4" customFormat="1" ht="15">
      <c r="A120" s="189">
        <v>3.1</v>
      </c>
      <c r="B120" s="111" t="s">
        <v>277</v>
      </c>
      <c r="C120" s="84" t="s">
        <v>319</v>
      </c>
      <c r="D120" s="183">
        <v>5720986</v>
      </c>
    </row>
    <row r="121" spans="1:4" customFormat="1" ht="15">
      <c r="A121" s="189" t="s">
        <v>454</v>
      </c>
      <c r="B121" s="111" t="s">
        <v>280</v>
      </c>
      <c r="C121" s="84" t="s">
        <v>476</v>
      </c>
      <c r="D121" s="183">
        <v>1751700000</v>
      </c>
    </row>
    <row r="122" spans="1:4" customFormat="1" ht="15">
      <c r="A122" s="189" t="s">
        <v>326</v>
      </c>
      <c r="B122" s="111" t="s">
        <v>280</v>
      </c>
      <c r="C122" s="84" t="s">
        <v>327</v>
      </c>
      <c r="D122" s="183">
        <v>3</v>
      </c>
    </row>
    <row r="123" spans="1:4" customFormat="1" ht="15">
      <c r="A123" s="189" t="s">
        <v>313</v>
      </c>
      <c r="B123" s="111" t="s">
        <v>280</v>
      </c>
      <c r="C123" s="84" t="s">
        <v>314</v>
      </c>
      <c r="D123" s="183">
        <v>3750</v>
      </c>
    </row>
    <row r="124" spans="1:4" customFormat="1" ht="15">
      <c r="A124" s="190" t="s">
        <v>510</v>
      </c>
      <c r="B124" s="111"/>
      <c r="C124" s="84"/>
      <c r="D124" s="183"/>
    </row>
    <row r="125" spans="1:4" customFormat="1" ht="15">
      <c r="A125" s="189">
        <v>1.1000000000000001</v>
      </c>
      <c r="B125" s="111" t="s">
        <v>277</v>
      </c>
      <c r="C125" s="84" t="s">
        <v>471</v>
      </c>
      <c r="D125" s="183">
        <v>232728</v>
      </c>
    </row>
    <row r="126" spans="1:4" customFormat="1" ht="15">
      <c r="A126" s="189">
        <v>2.2000000000000002</v>
      </c>
      <c r="B126" s="111" t="s">
        <v>277</v>
      </c>
      <c r="C126" s="84" t="s">
        <v>342</v>
      </c>
      <c r="D126" s="183">
        <v>136797</v>
      </c>
    </row>
    <row r="127" spans="1:4" customFormat="1" ht="15">
      <c r="A127" s="189">
        <v>2.2999999999999998</v>
      </c>
      <c r="B127" s="111" t="s">
        <v>277</v>
      </c>
      <c r="C127" s="84" t="s">
        <v>366</v>
      </c>
      <c r="D127" s="183">
        <v>2744</v>
      </c>
    </row>
    <row r="128" spans="1:4" customFormat="1" ht="15">
      <c r="A128" s="189">
        <v>6.1</v>
      </c>
      <c r="B128" s="111" t="s">
        <v>277</v>
      </c>
      <c r="C128" s="84" t="s">
        <v>334</v>
      </c>
      <c r="D128" s="183">
        <v>17</v>
      </c>
    </row>
    <row r="129" spans="1:4" customFormat="1" ht="15">
      <c r="A129" s="189" t="s">
        <v>295</v>
      </c>
      <c r="B129" s="111" t="s">
        <v>280</v>
      </c>
      <c r="C129" s="84" t="s">
        <v>296</v>
      </c>
      <c r="D129" s="183">
        <v>46</v>
      </c>
    </row>
    <row r="130" spans="1:4" customFormat="1" ht="15">
      <c r="A130" s="190" t="s">
        <v>511</v>
      </c>
      <c r="B130" s="111"/>
      <c r="C130" s="84"/>
      <c r="D130" s="183"/>
    </row>
    <row r="131" spans="1:4" customFormat="1" ht="15">
      <c r="A131" s="189">
        <v>3.2</v>
      </c>
      <c r="B131" s="111" t="s">
        <v>277</v>
      </c>
      <c r="C131" s="84" t="s">
        <v>417</v>
      </c>
      <c r="D131" s="183">
        <v>6820.0000000000009</v>
      </c>
    </row>
    <row r="132" spans="1:4" customFormat="1" ht="15">
      <c r="A132" s="189">
        <v>4.0999999999999996</v>
      </c>
      <c r="B132" s="111" t="s">
        <v>277</v>
      </c>
      <c r="C132" s="84" t="s">
        <v>293</v>
      </c>
      <c r="D132" s="183">
        <v>2387</v>
      </c>
    </row>
    <row r="133" spans="1:4" customFormat="1" ht="15">
      <c r="A133" s="189">
        <v>5.0999999999999996</v>
      </c>
      <c r="B133" s="111" t="s">
        <v>277</v>
      </c>
      <c r="C133" s="84" t="s">
        <v>343</v>
      </c>
      <c r="D133" s="183">
        <v>4092.0000000000005</v>
      </c>
    </row>
    <row r="134" spans="1:4" customFormat="1" ht="15">
      <c r="A134" s="189">
        <v>6.1</v>
      </c>
      <c r="B134" s="111" t="s">
        <v>277</v>
      </c>
      <c r="C134" s="84" t="s">
        <v>334</v>
      </c>
      <c r="D134" s="183">
        <v>4</v>
      </c>
    </row>
    <row r="135" spans="1:4" customFormat="1" ht="15">
      <c r="A135" s="189" t="s">
        <v>512</v>
      </c>
      <c r="B135" s="111" t="s">
        <v>280</v>
      </c>
      <c r="C135" s="84" t="s">
        <v>523</v>
      </c>
      <c r="D135" s="183">
        <v>9</v>
      </c>
    </row>
    <row r="136" spans="1:4" customFormat="1" ht="15">
      <c r="A136" s="189" t="s">
        <v>454</v>
      </c>
      <c r="B136" s="111" t="s">
        <v>280</v>
      </c>
      <c r="C136" s="84" t="s">
        <v>476</v>
      </c>
      <c r="D136" s="183">
        <v>0</v>
      </c>
    </row>
    <row r="137" spans="1:4" customFormat="1" ht="15">
      <c r="A137" s="189" t="s">
        <v>402</v>
      </c>
      <c r="B137" s="111" t="s">
        <v>280</v>
      </c>
      <c r="C137" s="84" t="s">
        <v>403</v>
      </c>
      <c r="D137" s="183">
        <v>73</v>
      </c>
    </row>
    <row r="138" spans="1:4" customFormat="1" ht="15">
      <c r="A138" s="189" t="s">
        <v>440</v>
      </c>
      <c r="B138" s="111" t="s">
        <v>280</v>
      </c>
      <c r="C138" s="84" t="s">
        <v>441</v>
      </c>
      <c r="D138" s="183">
        <v>1</v>
      </c>
    </row>
    <row r="139" spans="1:4" customFormat="1" ht="15">
      <c r="A139" s="189" t="s">
        <v>282</v>
      </c>
      <c r="B139" s="111" t="s">
        <v>280</v>
      </c>
      <c r="C139" s="84" t="s">
        <v>283</v>
      </c>
      <c r="D139" s="183">
        <v>9</v>
      </c>
    </row>
    <row r="140" spans="1:4" customFormat="1" ht="15">
      <c r="A140" s="189" t="s">
        <v>418</v>
      </c>
      <c r="B140" s="111" t="s">
        <v>280</v>
      </c>
      <c r="C140" s="84" t="s">
        <v>419</v>
      </c>
      <c r="D140" s="183">
        <v>477</v>
      </c>
    </row>
    <row r="141" spans="1:4" customFormat="1" ht="15">
      <c r="A141" s="189" t="s">
        <v>284</v>
      </c>
      <c r="B141" s="111" t="s">
        <v>280</v>
      </c>
      <c r="C141" s="84" t="s">
        <v>285</v>
      </c>
      <c r="D141" s="183">
        <v>7</v>
      </c>
    </row>
    <row r="142" spans="1:4" customFormat="1" ht="15">
      <c r="A142" s="189" t="s">
        <v>315</v>
      </c>
      <c r="B142" s="111" t="s">
        <v>280</v>
      </c>
      <c r="C142" s="84" t="s">
        <v>316</v>
      </c>
      <c r="D142" s="183">
        <v>9</v>
      </c>
    </row>
    <row r="143" spans="1:4" customFormat="1" ht="15">
      <c r="A143" s="190" t="s">
        <v>513</v>
      </c>
      <c r="B143" s="111"/>
      <c r="C143" s="84"/>
      <c r="D143" s="183"/>
    </row>
    <row r="144" spans="1:4" customFormat="1" ht="15">
      <c r="A144" s="189">
        <v>1.2</v>
      </c>
      <c r="B144" s="111" t="s">
        <v>277</v>
      </c>
      <c r="C144" s="84" t="s">
        <v>318</v>
      </c>
      <c r="D144" s="183">
        <v>3409.090909090909</v>
      </c>
    </row>
    <row r="145" spans="1:4" customFormat="1" ht="15">
      <c r="A145" s="189">
        <v>5.0999999999999996</v>
      </c>
      <c r="B145" s="111" t="s">
        <v>277</v>
      </c>
      <c r="C145" s="84" t="s">
        <v>343</v>
      </c>
      <c r="D145" s="183">
        <v>34800000</v>
      </c>
    </row>
    <row r="146" spans="1:4" customFormat="1" ht="15">
      <c r="A146" s="189">
        <v>6.2</v>
      </c>
      <c r="B146" s="111" t="s">
        <v>277</v>
      </c>
      <c r="C146" s="84" t="s">
        <v>303</v>
      </c>
      <c r="D146" s="183">
        <v>1</v>
      </c>
    </row>
    <row r="147" spans="1:4" customFormat="1" ht="15">
      <c r="A147" s="189" t="s">
        <v>308</v>
      </c>
      <c r="B147" s="111" t="s">
        <v>280</v>
      </c>
      <c r="C147" s="84" t="s">
        <v>309</v>
      </c>
      <c r="D147" s="183">
        <v>12</v>
      </c>
    </row>
    <row r="148" spans="1:4" customFormat="1" ht="15">
      <c r="A148" s="189" t="s">
        <v>454</v>
      </c>
      <c r="B148" s="111" t="s">
        <v>280</v>
      </c>
      <c r="C148" s="84" t="s">
        <v>476</v>
      </c>
      <c r="D148" s="183">
        <v>0</v>
      </c>
    </row>
    <row r="149" spans="1:4" customFormat="1" ht="15">
      <c r="A149" s="189" t="s">
        <v>282</v>
      </c>
      <c r="B149" s="111" t="s">
        <v>280</v>
      </c>
      <c r="C149" s="84" t="s">
        <v>283</v>
      </c>
      <c r="D149" s="183">
        <v>12</v>
      </c>
    </row>
    <row r="150" spans="1:4" customFormat="1" ht="15">
      <c r="A150" s="189" t="s">
        <v>315</v>
      </c>
      <c r="B150" s="111" t="s">
        <v>280</v>
      </c>
      <c r="C150" s="84" t="s">
        <v>316</v>
      </c>
      <c r="D150" s="183">
        <v>12</v>
      </c>
    </row>
    <row r="151" spans="1:4" customFormat="1" ht="15">
      <c r="A151" s="189" t="s">
        <v>288</v>
      </c>
      <c r="B151" s="111" t="s">
        <v>280</v>
      </c>
      <c r="C151" s="84" t="s">
        <v>289</v>
      </c>
      <c r="D151" s="183">
        <v>1</v>
      </c>
    </row>
    <row r="152" spans="1:4" s="100" customFormat="1" ht="15" customHeight="1">
      <c r="A152" s="179" t="s">
        <v>332</v>
      </c>
      <c r="B152" s="180"/>
      <c r="C152" s="180"/>
      <c r="D152" s="185"/>
    </row>
    <row r="153" spans="1:4" customFormat="1" ht="15">
      <c r="A153" s="190" t="s">
        <v>516</v>
      </c>
      <c r="B153" s="111"/>
      <c r="C153" s="84"/>
      <c r="D153" s="183"/>
    </row>
    <row r="154" spans="1:4" customFormat="1" ht="15">
      <c r="A154" s="189" t="s">
        <v>344</v>
      </c>
      <c r="B154" s="111" t="s">
        <v>280</v>
      </c>
      <c r="C154" s="84" t="s">
        <v>345</v>
      </c>
      <c r="D154" s="183">
        <v>53870.8</v>
      </c>
    </row>
    <row r="155" spans="1:4" customFormat="1" ht="15">
      <c r="A155" s="190" t="s">
        <v>517</v>
      </c>
      <c r="B155" s="111"/>
      <c r="C155" s="84"/>
      <c r="D155" s="183"/>
    </row>
    <row r="156" spans="1:4" customFormat="1" ht="15">
      <c r="A156" s="189">
        <v>1.1000000000000001</v>
      </c>
      <c r="B156" s="111" t="s">
        <v>277</v>
      </c>
      <c r="C156" s="84" t="s">
        <v>471</v>
      </c>
      <c r="D156" s="183">
        <v>21918</v>
      </c>
    </row>
    <row r="157" spans="1:4" customFormat="1" ht="15">
      <c r="A157" s="189">
        <v>6.1</v>
      </c>
      <c r="B157" s="111" t="s">
        <v>277</v>
      </c>
      <c r="C157" s="84" t="s">
        <v>334</v>
      </c>
      <c r="D157" s="183">
        <v>1</v>
      </c>
    </row>
    <row r="158" spans="1:4" customFormat="1" ht="15">
      <c r="A158" s="189" t="s">
        <v>373</v>
      </c>
      <c r="B158" s="111" t="s">
        <v>280</v>
      </c>
      <c r="C158" s="84" t="s">
        <v>374</v>
      </c>
      <c r="D158" s="183">
        <v>4</v>
      </c>
    </row>
    <row r="159" spans="1:4" customFormat="1" ht="15">
      <c r="A159" s="189" t="s">
        <v>346</v>
      </c>
      <c r="B159" s="111" t="s">
        <v>280</v>
      </c>
      <c r="C159" s="84" t="s">
        <v>347</v>
      </c>
      <c r="D159" s="183">
        <v>2</v>
      </c>
    </row>
    <row r="160" spans="1:4" customFormat="1" ht="15">
      <c r="A160" s="190" t="s">
        <v>518</v>
      </c>
      <c r="B160" s="111"/>
      <c r="C160" s="84"/>
      <c r="D160" s="183"/>
    </row>
    <row r="161" spans="1:4" customFormat="1" ht="15">
      <c r="A161" s="189" t="s">
        <v>344</v>
      </c>
      <c r="B161" s="111" t="s">
        <v>280</v>
      </c>
      <c r="C161" s="84" t="s">
        <v>345</v>
      </c>
      <c r="D161" s="183">
        <v>1318373</v>
      </c>
    </row>
    <row r="162" spans="1:4" customFormat="1" ht="15">
      <c r="A162" s="190" t="s">
        <v>519</v>
      </c>
      <c r="B162" s="111"/>
      <c r="C162" s="84"/>
      <c r="D162" s="183"/>
    </row>
    <row r="163" spans="1:4" customFormat="1" ht="15">
      <c r="A163" s="189">
        <v>6.1</v>
      </c>
      <c r="B163" s="111" t="s">
        <v>277</v>
      </c>
      <c r="C163" s="84" t="s">
        <v>334</v>
      </c>
      <c r="D163" s="183">
        <v>1</v>
      </c>
    </row>
    <row r="164" spans="1:4" customFormat="1" ht="15">
      <c r="A164" s="190" t="s">
        <v>520</v>
      </c>
      <c r="B164" s="111"/>
      <c r="C164" s="84"/>
      <c r="D164" s="183"/>
    </row>
    <row r="165" spans="1:4" customFormat="1" ht="15">
      <c r="A165" s="189" t="s">
        <v>326</v>
      </c>
      <c r="B165" s="111" t="s">
        <v>280</v>
      </c>
      <c r="C165" s="84" t="s">
        <v>327</v>
      </c>
      <c r="D165" s="183">
        <v>1</v>
      </c>
    </row>
    <row r="166" spans="1:4" customFormat="1" ht="15">
      <c r="A166" s="190" t="s">
        <v>521</v>
      </c>
      <c r="B166" s="111"/>
      <c r="C166" s="84"/>
      <c r="D166" s="183"/>
    </row>
    <row r="167" spans="1:4" customFormat="1" ht="15">
      <c r="A167" s="189" t="s">
        <v>295</v>
      </c>
      <c r="B167" s="111" t="s">
        <v>280</v>
      </c>
      <c r="C167" s="84" t="s">
        <v>296</v>
      </c>
      <c r="D167" s="183">
        <v>4</v>
      </c>
    </row>
    <row r="168" spans="1:4" customFormat="1" ht="15">
      <c r="A168" s="190" t="s">
        <v>522</v>
      </c>
      <c r="B168" s="111"/>
      <c r="C168" s="84"/>
      <c r="D168" s="183"/>
    </row>
    <row r="169" spans="1:4" customFormat="1" ht="15">
      <c r="A169" s="189">
        <v>1.2</v>
      </c>
      <c r="B169" s="111" t="s">
        <v>277</v>
      </c>
      <c r="C169" s="84" t="s">
        <v>318</v>
      </c>
      <c r="D169" s="183">
        <v>5795</v>
      </c>
    </row>
    <row r="170" spans="1:4" customFormat="1" ht="15">
      <c r="A170" s="189">
        <v>2.2999999999999998</v>
      </c>
      <c r="B170" s="111" t="s">
        <v>277</v>
      </c>
      <c r="C170" s="84" t="s">
        <v>366</v>
      </c>
      <c r="D170" s="183">
        <v>154</v>
      </c>
    </row>
    <row r="171" spans="1:4" customFormat="1" ht="15">
      <c r="A171" s="189" t="s">
        <v>335</v>
      </c>
      <c r="B171" s="111" t="s">
        <v>280</v>
      </c>
      <c r="C171" s="84" t="s">
        <v>336</v>
      </c>
      <c r="D171" s="183">
        <v>7</v>
      </c>
    </row>
    <row r="172" spans="1:4" customFormat="1" ht="15">
      <c r="A172" s="189" t="s">
        <v>322</v>
      </c>
      <c r="B172" s="111" t="s">
        <v>280</v>
      </c>
      <c r="C172" s="84" t="s">
        <v>323</v>
      </c>
      <c r="D172" s="183">
        <v>850753</v>
      </c>
    </row>
    <row r="173" spans="1:4" customFormat="1" ht="15">
      <c r="A173" s="189" t="s">
        <v>339</v>
      </c>
      <c r="B173" s="111" t="s">
        <v>280</v>
      </c>
      <c r="C173" s="84" t="s">
        <v>340</v>
      </c>
      <c r="D173" s="183">
        <v>900000</v>
      </c>
    </row>
    <row r="174" spans="1:4" customFormat="1" ht="15">
      <c r="A174" s="189" t="s">
        <v>468</v>
      </c>
      <c r="B174" s="111" t="s">
        <v>280</v>
      </c>
      <c r="C174" s="84" t="s">
        <v>481</v>
      </c>
      <c r="D174" s="183">
        <v>1</v>
      </c>
    </row>
    <row r="175" spans="1:4" customFormat="1" ht="15">
      <c r="A175" s="189" t="s">
        <v>346</v>
      </c>
      <c r="B175" s="111" t="s">
        <v>280</v>
      </c>
      <c r="C175" s="84" t="s">
        <v>347</v>
      </c>
      <c r="D175" s="183">
        <v>1</v>
      </c>
    </row>
    <row r="176" spans="1:4" customFormat="1" ht="15">
      <c r="A176" s="189">
        <v>6.2</v>
      </c>
      <c r="B176" s="111" t="s">
        <v>277</v>
      </c>
      <c r="C176" s="84" t="s">
        <v>303</v>
      </c>
      <c r="D176" s="183">
        <v>1</v>
      </c>
    </row>
    <row r="177" spans="1:4" s="100" customFormat="1" ht="15" customHeight="1">
      <c r="A177" s="179" t="s">
        <v>349</v>
      </c>
      <c r="B177" s="179"/>
      <c r="C177" s="181"/>
      <c r="D177" s="186"/>
    </row>
    <row r="178" spans="1:4" customFormat="1" ht="14">
      <c r="A178" s="191" t="s">
        <v>514</v>
      </c>
      <c r="B178" s="111"/>
      <c r="C178" s="182"/>
      <c r="D178" s="187"/>
    </row>
    <row r="179" spans="1:4" customFormat="1" ht="12" customHeight="1">
      <c r="A179" s="189" t="s">
        <v>288</v>
      </c>
      <c r="B179" s="111" t="s">
        <v>280</v>
      </c>
      <c r="C179" s="182" t="s">
        <v>289</v>
      </c>
      <c r="D179" s="187">
        <v>1</v>
      </c>
    </row>
    <row r="180" spans="1:4" customFormat="1" ht="14">
      <c r="A180" s="191" t="s">
        <v>515</v>
      </c>
      <c r="B180" s="111"/>
      <c r="C180" s="182"/>
      <c r="D180" s="187"/>
    </row>
    <row r="181" spans="1:4" customFormat="1" ht="15.5" customHeight="1">
      <c r="A181" s="189" t="s">
        <v>377</v>
      </c>
      <c r="B181" s="111" t="s">
        <v>280</v>
      </c>
      <c r="C181" s="182" t="s">
        <v>378</v>
      </c>
      <c r="D181" s="187">
        <v>1</v>
      </c>
    </row>
  </sheetData>
  <hyperlinks>
    <hyperlink ref="A2" r:id="rId1" xr:uid="{A05D31B2-1F1C-4A38-AA48-94AD18643F7D}"/>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B85F-94BD-2245-AD41-CC0576BF31BA}">
  <dimension ref="A1:G267"/>
  <sheetViews>
    <sheetView tabSelected="1" topLeftCell="A239" zoomScale="135" workbookViewId="0">
      <selection activeCell="J258" sqref="J258"/>
    </sheetView>
  </sheetViews>
  <sheetFormatPr baseColWidth="10" defaultColWidth="10.83203125" defaultRowHeight="16"/>
  <cols>
    <col min="1" max="1" width="13.6640625" style="97" customWidth="1"/>
    <col min="2" max="2" width="10.83203125" style="97"/>
    <col min="3" max="3" width="69.6640625" style="97" customWidth="1"/>
    <col min="4" max="4" width="13.5" style="102" customWidth="1"/>
    <col min="5" max="5" width="11.1640625" style="97" bestFit="1" customWidth="1"/>
    <col min="6" max="6" width="11" style="97" bestFit="1" customWidth="1"/>
    <col min="7" max="7" width="11.83203125" style="97" bestFit="1" customWidth="1"/>
    <col min="8" max="9" width="10.83203125" style="97"/>
    <col min="10" max="10" width="10.83203125" style="97" customWidth="1"/>
    <col min="11" max="16384" width="10.83203125" style="97"/>
  </cols>
  <sheetData>
    <row r="1" spans="1:7">
      <c r="A1" s="103" t="s">
        <v>0</v>
      </c>
      <c r="B1" s="94"/>
      <c r="C1" s="95"/>
      <c r="D1" s="96"/>
    </row>
    <row r="2" spans="1:7">
      <c r="A2" s="103"/>
      <c r="B2" s="94"/>
      <c r="C2" s="95"/>
      <c r="D2" s="96"/>
    </row>
    <row r="3" spans="1:7">
      <c r="A3" s="158">
        <v>2019</v>
      </c>
      <c r="B3" s="94"/>
      <c r="C3" s="95"/>
      <c r="D3" s="96"/>
    </row>
    <row r="4" spans="1:7">
      <c r="A4" s="124" t="s">
        <v>383</v>
      </c>
      <c r="B4" s="125" t="s">
        <v>272</v>
      </c>
      <c r="C4" s="125" t="s">
        <v>384</v>
      </c>
      <c r="D4" s="126" t="s">
        <v>385</v>
      </c>
      <c r="E4" s="126" t="s">
        <v>386</v>
      </c>
      <c r="F4" s="126" t="s">
        <v>387</v>
      </c>
      <c r="G4" s="127" t="s">
        <v>388</v>
      </c>
    </row>
    <row r="5" spans="1:7" s="94" customFormat="1" ht="14">
      <c r="A5" s="128" t="s">
        <v>389</v>
      </c>
      <c r="B5" s="142"/>
      <c r="C5" s="143"/>
      <c r="D5" s="129"/>
      <c r="G5" s="132"/>
    </row>
    <row r="6" spans="1:7" s="94" customFormat="1" ht="15">
      <c r="A6" s="145">
        <v>1.2</v>
      </c>
      <c r="B6" s="111" t="s">
        <v>277</v>
      </c>
      <c r="C6" s="116" t="s">
        <v>318</v>
      </c>
      <c r="D6" s="117">
        <v>3200</v>
      </c>
      <c r="E6" s="117">
        <v>300</v>
      </c>
      <c r="F6" s="131">
        <v>0</v>
      </c>
      <c r="G6" s="132">
        <f>SUM(D6:F6)</f>
        <v>3500</v>
      </c>
    </row>
    <row r="7" spans="1:7" s="94" customFormat="1" ht="15">
      <c r="A7" s="145">
        <v>1.3</v>
      </c>
      <c r="B7" s="111" t="s">
        <v>277</v>
      </c>
      <c r="C7" s="116" t="s">
        <v>291</v>
      </c>
      <c r="D7" s="117">
        <f>77140.5971223022+34623.4</f>
        <v>111763.99712230221</v>
      </c>
      <c r="E7" s="117">
        <v>50942</v>
      </c>
      <c r="F7" s="131">
        <v>0</v>
      </c>
      <c r="G7" s="132">
        <f t="shared" ref="G7:G47" si="0">SUM(D7:F7)</f>
        <v>162705.99712230221</v>
      </c>
    </row>
    <row r="8" spans="1:7" s="94" customFormat="1" ht="15">
      <c r="A8" s="145" t="s">
        <v>320</v>
      </c>
      <c r="B8" s="111" t="s">
        <v>280</v>
      </c>
      <c r="C8" s="116" t="s">
        <v>321</v>
      </c>
      <c r="D8" s="117">
        <v>1052.4000000000001</v>
      </c>
      <c r="E8" s="117">
        <v>0</v>
      </c>
      <c r="F8" s="131">
        <v>0</v>
      </c>
      <c r="G8" s="132">
        <f t="shared" si="0"/>
        <v>1052.4000000000001</v>
      </c>
    </row>
    <row r="9" spans="1:7" s="94" customFormat="1" ht="15">
      <c r="A9" s="145" t="s">
        <v>304</v>
      </c>
      <c r="B9" s="111" t="s">
        <v>280</v>
      </c>
      <c r="C9" s="116" t="s">
        <v>305</v>
      </c>
      <c r="D9" s="117">
        <v>11.200000000000001</v>
      </c>
      <c r="E9" s="117">
        <v>0</v>
      </c>
      <c r="F9" s="131">
        <v>0</v>
      </c>
      <c r="G9" s="132">
        <f t="shared" si="0"/>
        <v>11.200000000000001</v>
      </c>
    </row>
    <row r="10" spans="1:7" s="94" customFormat="1" ht="15">
      <c r="A10" s="145" t="s">
        <v>335</v>
      </c>
      <c r="B10" s="111" t="s">
        <v>280</v>
      </c>
      <c r="C10" s="116" t="s">
        <v>336</v>
      </c>
      <c r="D10" s="144">
        <v>0</v>
      </c>
      <c r="E10" s="117">
        <v>1</v>
      </c>
      <c r="F10" s="131">
        <v>0</v>
      </c>
      <c r="G10" s="132">
        <f t="shared" si="0"/>
        <v>1</v>
      </c>
    </row>
    <row r="11" spans="1:7" s="94" customFormat="1" ht="15">
      <c r="A11" s="145" t="s">
        <v>337</v>
      </c>
      <c r="B11" s="111" t="s">
        <v>280</v>
      </c>
      <c r="C11" s="116" t="s">
        <v>338</v>
      </c>
      <c r="D11" s="144">
        <v>0</v>
      </c>
      <c r="E11" s="117">
        <v>1</v>
      </c>
      <c r="F11" s="131">
        <v>0</v>
      </c>
      <c r="G11" s="132">
        <f t="shared" si="0"/>
        <v>1</v>
      </c>
    </row>
    <row r="12" spans="1:7" s="94" customFormat="1" ht="14">
      <c r="A12" s="128" t="s">
        <v>390</v>
      </c>
      <c r="B12" s="142"/>
      <c r="C12" s="143"/>
      <c r="D12" s="133"/>
      <c r="E12" s="131"/>
      <c r="F12" s="131"/>
      <c r="G12" s="132"/>
    </row>
    <row r="13" spans="1:7" s="94" customFormat="1" ht="15">
      <c r="A13" s="145">
        <v>2.2000000000000002</v>
      </c>
      <c r="B13" s="111" t="s">
        <v>277</v>
      </c>
      <c r="C13" s="116" t="s">
        <v>342</v>
      </c>
      <c r="D13" s="144">
        <v>0</v>
      </c>
      <c r="E13" s="117">
        <v>169844</v>
      </c>
      <c r="F13" s="131">
        <v>0</v>
      </c>
      <c r="G13" s="132">
        <f t="shared" si="0"/>
        <v>169844</v>
      </c>
    </row>
    <row r="14" spans="1:7" s="94" customFormat="1" ht="15">
      <c r="A14" s="145">
        <v>2.4</v>
      </c>
      <c r="B14" s="111" t="s">
        <v>277</v>
      </c>
      <c r="C14" s="116" t="s">
        <v>302</v>
      </c>
      <c r="D14" s="117">
        <v>144025.641025641</v>
      </c>
      <c r="E14" s="131">
        <v>0</v>
      </c>
      <c r="F14" s="131">
        <v>0</v>
      </c>
      <c r="G14" s="132">
        <f t="shared" si="0"/>
        <v>144025.641025641</v>
      </c>
    </row>
    <row r="15" spans="1:7" s="94" customFormat="1" ht="15">
      <c r="A15" s="145" t="s">
        <v>322</v>
      </c>
      <c r="B15" s="111" t="s">
        <v>280</v>
      </c>
      <c r="C15" s="116" t="s">
        <v>323</v>
      </c>
      <c r="D15" s="117">
        <v>53</v>
      </c>
      <c r="E15" s="113">
        <v>175</v>
      </c>
      <c r="F15" s="131">
        <v>0</v>
      </c>
      <c r="G15" s="132">
        <f t="shared" si="0"/>
        <v>228</v>
      </c>
    </row>
    <row r="16" spans="1:7" s="94" customFormat="1" ht="15">
      <c r="A16" s="145" t="s">
        <v>339</v>
      </c>
      <c r="B16" s="111" t="s">
        <v>280</v>
      </c>
      <c r="C16" s="116" t="s">
        <v>340</v>
      </c>
      <c r="D16" s="144">
        <v>0</v>
      </c>
      <c r="E16" s="113">
        <f>1756836+12587.7682</f>
        <v>1769423.7682</v>
      </c>
      <c r="F16" s="131">
        <v>0</v>
      </c>
      <c r="G16" s="132">
        <f t="shared" si="0"/>
        <v>1769423.7682</v>
      </c>
    </row>
    <row r="17" spans="1:7" s="94" customFormat="1" ht="30">
      <c r="A17" s="145" t="s">
        <v>344</v>
      </c>
      <c r="B17" s="111" t="s">
        <v>280</v>
      </c>
      <c r="C17" s="116" t="s">
        <v>345</v>
      </c>
      <c r="D17" s="144">
        <v>0</v>
      </c>
      <c r="E17" s="113">
        <v>382372</v>
      </c>
      <c r="F17" s="131">
        <v>0</v>
      </c>
      <c r="G17" s="132">
        <f t="shared" si="0"/>
        <v>382372</v>
      </c>
    </row>
    <row r="18" spans="1:7" s="94" customFormat="1" ht="15">
      <c r="A18" s="145" t="s">
        <v>306</v>
      </c>
      <c r="B18" s="111" t="s">
        <v>280</v>
      </c>
      <c r="C18" s="116" t="s">
        <v>307</v>
      </c>
      <c r="D18" s="117">
        <f>144025.641025641+107.25</f>
        <v>144132.891025641</v>
      </c>
      <c r="E18" s="117">
        <v>0</v>
      </c>
      <c r="F18" s="131">
        <v>0</v>
      </c>
      <c r="G18" s="132">
        <f t="shared" si="0"/>
        <v>144132.891025641</v>
      </c>
    </row>
    <row r="19" spans="1:7" s="94" customFormat="1" ht="15">
      <c r="A19" s="145" t="s">
        <v>324</v>
      </c>
      <c r="B19" s="111" t="s">
        <v>280</v>
      </c>
      <c r="C19" s="116" t="s">
        <v>325</v>
      </c>
      <c r="D19" s="117">
        <v>136</v>
      </c>
      <c r="E19" s="117">
        <v>0</v>
      </c>
      <c r="F19" s="131">
        <v>0</v>
      </c>
      <c r="G19" s="132">
        <f t="shared" si="0"/>
        <v>136</v>
      </c>
    </row>
    <row r="20" spans="1:7" s="94" customFormat="1" ht="15">
      <c r="A20" s="145" t="s">
        <v>346</v>
      </c>
      <c r="B20" s="111" t="s">
        <v>280</v>
      </c>
      <c r="C20" s="116" t="s">
        <v>347</v>
      </c>
      <c r="D20" s="144">
        <v>0</v>
      </c>
      <c r="E20" s="117">
        <v>1</v>
      </c>
      <c r="F20" s="131">
        <v>0</v>
      </c>
      <c r="G20" s="132">
        <f t="shared" si="0"/>
        <v>1</v>
      </c>
    </row>
    <row r="21" spans="1:7" s="94" customFormat="1" ht="15">
      <c r="A21" s="145" t="s">
        <v>279</v>
      </c>
      <c r="B21" s="111" t="s">
        <v>280</v>
      </c>
      <c r="C21" s="116" t="s">
        <v>281</v>
      </c>
      <c r="D21" s="117">
        <v>1</v>
      </c>
      <c r="E21" s="117">
        <v>0</v>
      </c>
      <c r="F21" s="131">
        <v>0</v>
      </c>
      <c r="G21" s="132">
        <f t="shared" si="0"/>
        <v>1</v>
      </c>
    </row>
    <row r="22" spans="1:7" s="94" customFormat="1" ht="30">
      <c r="A22" s="145" t="s">
        <v>308</v>
      </c>
      <c r="B22" s="111" t="s">
        <v>280</v>
      </c>
      <c r="C22" s="116" t="s">
        <v>309</v>
      </c>
      <c r="D22" s="117">
        <v>2</v>
      </c>
      <c r="E22" s="117">
        <v>0</v>
      </c>
      <c r="F22" s="131">
        <v>0</v>
      </c>
      <c r="G22" s="132">
        <f t="shared" si="0"/>
        <v>2</v>
      </c>
    </row>
    <row r="23" spans="1:7" s="94" customFormat="1" ht="14">
      <c r="A23" s="128" t="s">
        <v>391</v>
      </c>
      <c r="B23" s="142"/>
      <c r="C23" s="143"/>
      <c r="D23" s="129"/>
      <c r="E23" s="117"/>
      <c r="F23" s="131"/>
      <c r="G23" s="132"/>
    </row>
    <row r="24" spans="1:7" s="94" customFormat="1" ht="15">
      <c r="A24" s="145">
        <v>3.1</v>
      </c>
      <c r="B24" s="111" t="s">
        <v>277</v>
      </c>
      <c r="C24" s="116" t="s">
        <v>319</v>
      </c>
      <c r="D24" s="117">
        <f>577059+1500000</f>
        <v>2077059</v>
      </c>
      <c r="E24" s="117">
        <v>0</v>
      </c>
      <c r="F24" s="131">
        <v>0</v>
      </c>
      <c r="G24" s="132">
        <f t="shared" si="0"/>
        <v>2077059</v>
      </c>
    </row>
    <row r="25" spans="1:7" s="94" customFormat="1" ht="15">
      <c r="A25" s="145">
        <v>3.3</v>
      </c>
      <c r="B25" s="111" t="s">
        <v>277</v>
      </c>
      <c r="C25" s="116" t="s">
        <v>292</v>
      </c>
      <c r="D25" s="117">
        <v>820000</v>
      </c>
      <c r="E25" s="117">
        <v>0</v>
      </c>
      <c r="F25" s="131">
        <v>0</v>
      </c>
      <c r="G25" s="132">
        <f t="shared" si="0"/>
        <v>820000</v>
      </c>
    </row>
    <row r="26" spans="1:7" s="94" customFormat="1" ht="15">
      <c r="A26" s="145" t="s">
        <v>326</v>
      </c>
      <c r="B26" s="111" t="s">
        <v>280</v>
      </c>
      <c r="C26" s="116" t="s">
        <v>327</v>
      </c>
      <c r="D26" s="117">
        <v>1</v>
      </c>
      <c r="E26" s="117">
        <v>0</v>
      </c>
      <c r="F26" s="131">
        <v>0</v>
      </c>
      <c r="G26" s="132">
        <f t="shared" si="0"/>
        <v>1</v>
      </c>
    </row>
    <row r="27" spans="1:7" s="94" customFormat="1" ht="15">
      <c r="A27" s="145" t="s">
        <v>313</v>
      </c>
      <c r="B27" s="111" t="s">
        <v>280</v>
      </c>
      <c r="C27" s="116" t="s">
        <v>314</v>
      </c>
      <c r="D27" s="117">
        <f>54964+600</f>
        <v>55564</v>
      </c>
      <c r="E27" s="131">
        <v>501</v>
      </c>
      <c r="F27" s="131">
        <v>0</v>
      </c>
      <c r="G27" s="132">
        <f t="shared" si="0"/>
        <v>56065</v>
      </c>
    </row>
    <row r="28" spans="1:7" s="94" customFormat="1" ht="15">
      <c r="A28" s="145" t="s">
        <v>282</v>
      </c>
      <c r="B28" s="111" t="s">
        <v>280</v>
      </c>
      <c r="C28" s="116" t="s">
        <v>283</v>
      </c>
      <c r="D28" s="117">
        <v>1</v>
      </c>
      <c r="E28" s="131">
        <v>0</v>
      </c>
      <c r="F28" s="131">
        <v>0</v>
      </c>
      <c r="G28" s="132">
        <f t="shared" si="0"/>
        <v>1</v>
      </c>
    </row>
    <row r="29" spans="1:7" s="94" customFormat="1" ht="15">
      <c r="A29" s="145" t="s">
        <v>328</v>
      </c>
      <c r="B29" s="111" t="s">
        <v>280</v>
      </c>
      <c r="C29" s="116" t="s">
        <v>329</v>
      </c>
      <c r="D29" s="117">
        <v>1</v>
      </c>
      <c r="E29" s="131">
        <v>0</v>
      </c>
      <c r="F29" s="131">
        <v>0</v>
      </c>
      <c r="G29" s="132">
        <f t="shared" si="0"/>
        <v>1</v>
      </c>
    </row>
    <row r="30" spans="1:7" s="94" customFormat="1" ht="15">
      <c r="A30" s="145" t="s">
        <v>330</v>
      </c>
      <c r="B30" s="111" t="s">
        <v>280</v>
      </c>
      <c r="C30" s="116" t="s">
        <v>331</v>
      </c>
      <c r="D30" s="117">
        <v>1</v>
      </c>
      <c r="E30" s="131">
        <v>0</v>
      </c>
      <c r="F30" s="131">
        <v>0</v>
      </c>
      <c r="G30" s="132">
        <f t="shared" si="0"/>
        <v>1</v>
      </c>
    </row>
    <row r="31" spans="1:7" s="94" customFormat="1" ht="17" customHeight="1">
      <c r="A31" s="145" t="s">
        <v>284</v>
      </c>
      <c r="B31" s="111" t="s">
        <v>280</v>
      </c>
      <c r="C31" s="116" t="s">
        <v>285</v>
      </c>
      <c r="D31" s="117">
        <v>1</v>
      </c>
      <c r="E31" s="131">
        <v>0</v>
      </c>
      <c r="F31" s="131">
        <v>0</v>
      </c>
      <c r="G31" s="132">
        <f t="shared" si="0"/>
        <v>1</v>
      </c>
    </row>
    <row r="32" spans="1:7" s="94" customFormat="1" ht="14">
      <c r="A32" s="128" t="s">
        <v>392</v>
      </c>
      <c r="B32" s="111"/>
      <c r="C32" s="116"/>
      <c r="D32" s="130"/>
      <c r="E32" s="131"/>
      <c r="F32" s="131"/>
      <c r="G32" s="132"/>
    </row>
    <row r="33" spans="1:7" s="94" customFormat="1" ht="15">
      <c r="A33" s="145">
        <v>4.0999999999999996</v>
      </c>
      <c r="B33" s="111" t="s">
        <v>277</v>
      </c>
      <c r="C33" s="116" t="s">
        <v>293</v>
      </c>
      <c r="D33" s="117">
        <f>619729+275233</f>
        <v>894962</v>
      </c>
      <c r="E33" s="131">
        <v>0</v>
      </c>
      <c r="F33" s="131">
        <v>0</v>
      </c>
      <c r="G33" s="132">
        <f t="shared" si="0"/>
        <v>894962</v>
      </c>
    </row>
    <row r="34" spans="1:7" s="94" customFormat="1" ht="15">
      <c r="A34" s="145">
        <v>4.2</v>
      </c>
      <c r="B34" s="111" t="s">
        <v>277</v>
      </c>
      <c r="C34" s="116" t="s">
        <v>278</v>
      </c>
      <c r="D34" s="117">
        <f>1+15</f>
        <v>16</v>
      </c>
      <c r="E34" s="131">
        <v>0</v>
      </c>
      <c r="F34" s="131">
        <v>0</v>
      </c>
      <c r="G34" s="132">
        <f t="shared" si="0"/>
        <v>16</v>
      </c>
    </row>
    <row r="35" spans="1:7" s="94" customFormat="1" ht="15">
      <c r="A35" s="145">
        <v>4.3</v>
      </c>
      <c r="B35" s="111" t="s">
        <v>277</v>
      </c>
      <c r="C35" s="116" t="s">
        <v>294</v>
      </c>
      <c r="D35" s="117">
        <f>14+13</f>
        <v>27</v>
      </c>
      <c r="E35" s="131">
        <v>0</v>
      </c>
      <c r="F35" s="131">
        <v>0</v>
      </c>
      <c r="G35" s="132">
        <f t="shared" si="0"/>
        <v>27</v>
      </c>
    </row>
    <row r="36" spans="1:7" s="94" customFormat="1" ht="15">
      <c r="A36" s="145" t="s">
        <v>286</v>
      </c>
      <c r="B36" s="111" t="s">
        <v>280</v>
      </c>
      <c r="C36" s="116" t="s">
        <v>287</v>
      </c>
      <c r="D36" s="117">
        <v>1</v>
      </c>
      <c r="E36" s="131">
        <v>0</v>
      </c>
      <c r="F36" s="131">
        <v>0</v>
      </c>
      <c r="G36" s="132">
        <f t="shared" si="0"/>
        <v>1</v>
      </c>
    </row>
    <row r="37" spans="1:7" s="94" customFormat="1" ht="15">
      <c r="A37" s="145" t="s">
        <v>295</v>
      </c>
      <c r="B37" s="111" t="s">
        <v>280</v>
      </c>
      <c r="C37" s="116" t="s">
        <v>296</v>
      </c>
      <c r="D37" s="117">
        <f>4+11.2</f>
        <v>15.2</v>
      </c>
      <c r="E37" s="131">
        <v>0</v>
      </c>
      <c r="F37" s="131">
        <v>0</v>
      </c>
      <c r="G37" s="132">
        <f t="shared" si="0"/>
        <v>15.2</v>
      </c>
    </row>
    <row r="38" spans="1:7" s="94" customFormat="1" ht="16" customHeight="1">
      <c r="A38" s="145" t="s">
        <v>297</v>
      </c>
      <c r="B38" s="111" t="s">
        <v>280</v>
      </c>
      <c r="C38" s="116" t="s">
        <v>298</v>
      </c>
      <c r="D38" s="117">
        <v>1</v>
      </c>
      <c r="E38" s="131">
        <v>0</v>
      </c>
      <c r="F38" s="131">
        <v>0</v>
      </c>
      <c r="G38" s="132">
        <f t="shared" si="0"/>
        <v>1</v>
      </c>
    </row>
    <row r="39" spans="1:7" s="94" customFormat="1" ht="15">
      <c r="A39" s="145" t="s">
        <v>299</v>
      </c>
      <c r="B39" s="111" t="s">
        <v>280</v>
      </c>
      <c r="C39" s="116" t="s">
        <v>300</v>
      </c>
      <c r="D39" s="117">
        <f>2+2</f>
        <v>4</v>
      </c>
      <c r="E39" s="131">
        <v>0</v>
      </c>
      <c r="F39" s="131">
        <v>0</v>
      </c>
      <c r="G39" s="132">
        <f t="shared" si="0"/>
        <v>4</v>
      </c>
    </row>
    <row r="40" spans="1:7" s="94" customFormat="1" ht="14">
      <c r="A40" s="128" t="s">
        <v>393</v>
      </c>
      <c r="B40" s="142"/>
      <c r="C40" s="143"/>
      <c r="D40" s="129"/>
      <c r="E40" s="131"/>
      <c r="F40" s="131"/>
      <c r="G40" s="132"/>
    </row>
    <row r="41" spans="1:7" s="94" customFormat="1" ht="15">
      <c r="A41" s="145">
        <v>5.0999999999999996</v>
      </c>
      <c r="B41" s="111" t="s">
        <v>277</v>
      </c>
      <c r="C41" s="116" t="s">
        <v>343</v>
      </c>
      <c r="D41" s="117">
        <v>0</v>
      </c>
      <c r="E41" s="117">
        <v>681550</v>
      </c>
      <c r="F41" s="131">
        <v>0</v>
      </c>
      <c r="G41" s="132">
        <f t="shared" si="0"/>
        <v>681550</v>
      </c>
    </row>
    <row r="42" spans="1:7" s="94" customFormat="1" ht="15">
      <c r="A42" s="145" t="s">
        <v>315</v>
      </c>
      <c r="B42" s="111" t="s">
        <v>280</v>
      </c>
      <c r="C42" s="116" t="s">
        <v>316</v>
      </c>
      <c r="D42" s="117">
        <f>1+1</f>
        <v>2</v>
      </c>
      <c r="E42" s="131">
        <v>0</v>
      </c>
      <c r="F42" s="131">
        <v>0</v>
      </c>
      <c r="G42" s="132">
        <f t="shared" si="0"/>
        <v>2</v>
      </c>
    </row>
    <row r="43" spans="1:7" s="94" customFormat="1" ht="14">
      <c r="A43" s="128" t="s">
        <v>394</v>
      </c>
      <c r="B43" s="142"/>
      <c r="C43" s="143"/>
      <c r="D43" s="133"/>
      <c r="E43" s="133"/>
      <c r="F43" s="131"/>
      <c r="G43" s="132"/>
    </row>
    <row r="44" spans="1:7" s="94" customFormat="1" ht="15">
      <c r="A44" s="145">
        <v>6.1</v>
      </c>
      <c r="B44" s="111" t="s">
        <v>277</v>
      </c>
      <c r="C44" s="116" t="s">
        <v>334</v>
      </c>
      <c r="D44" s="117">
        <v>0</v>
      </c>
      <c r="E44" s="131">
        <v>1</v>
      </c>
      <c r="F44" s="130">
        <v>10</v>
      </c>
      <c r="G44" s="132">
        <f t="shared" si="0"/>
        <v>11</v>
      </c>
    </row>
    <row r="45" spans="1:7" s="94" customFormat="1" ht="15">
      <c r="A45" s="145">
        <v>6.2</v>
      </c>
      <c r="B45" s="111" t="s">
        <v>277</v>
      </c>
      <c r="C45" s="116" t="s">
        <v>303</v>
      </c>
      <c r="D45" s="117">
        <f>12+1</f>
        <v>13</v>
      </c>
      <c r="E45" s="131">
        <v>0</v>
      </c>
      <c r="F45" s="130">
        <v>0</v>
      </c>
      <c r="G45" s="132">
        <f t="shared" si="0"/>
        <v>13</v>
      </c>
    </row>
    <row r="46" spans="1:7" s="94" customFormat="1" ht="30">
      <c r="A46" s="145" t="s">
        <v>310</v>
      </c>
      <c r="B46" s="111" t="s">
        <v>280</v>
      </c>
      <c r="C46" s="116" t="s">
        <v>311</v>
      </c>
      <c r="D46" s="117">
        <v>1419</v>
      </c>
      <c r="E46" s="131">
        <v>0</v>
      </c>
      <c r="F46" s="117">
        <f>8167+115</f>
        <v>8282</v>
      </c>
      <c r="G46" s="132">
        <f t="shared" si="0"/>
        <v>9701</v>
      </c>
    </row>
    <row r="47" spans="1:7" s="94" customFormat="1" ht="30">
      <c r="A47" s="146" t="s">
        <v>288</v>
      </c>
      <c r="B47" s="147" t="s">
        <v>280</v>
      </c>
      <c r="C47" s="148" t="s">
        <v>289</v>
      </c>
      <c r="D47" s="149">
        <v>2</v>
      </c>
      <c r="E47" s="134">
        <v>3</v>
      </c>
      <c r="F47" s="149">
        <v>0</v>
      </c>
      <c r="G47" s="135">
        <f t="shared" si="0"/>
        <v>5</v>
      </c>
    </row>
    <row r="48" spans="1:7" s="94" customFormat="1" ht="14">
      <c r="D48" s="144"/>
    </row>
    <row r="49" spans="1:7" s="94" customFormat="1">
      <c r="A49" s="158">
        <v>2020</v>
      </c>
      <c r="C49" s="95"/>
      <c r="D49" s="96"/>
      <c r="E49" s="97"/>
      <c r="F49" s="97"/>
      <c r="G49" s="97"/>
    </row>
    <row r="50" spans="1:7" s="94" customFormat="1" ht="14">
      <c r="A50" s="124" t="s">
        <v>383</v>
      </c>
      <c r="B50" s="125" t="s">
        <v>272</v>
      </c>
      <c r="C50" s="125" t="s">
        <v>384</v>
      </c>
      <c r="D50" s="126" t="s">
        <v>385</v>
      </c>
      <c r="E50" s="126" t="s">
        <v>386</v>
      </c>
      <c r="F50" s="126" t="s">
        <v>387</v>
      </c>
      <c r="G50" s="127" t="s">
        <v>388</v>
      </c>
    </row>
    <row r="51" spans="1:7" s="94" customFormat="1" ht="14">
      <c r="A51" s="128" t="s">
        <v>389</v>
      </c>
      <c r="B51" s="142"/>
      <c r="C51" s="143"/>
      <c r="D51" s="129"/>
      <c r="G51" s="132"/>
    </row>
    <row r="52" spans="1:7" s="94" customFormat="1" ht="15">
      <c r="A52" s="145">
        <v>1.2</v>
      </c>
      <c r="B52" s="111" t="s">
        <v>277</v>
      </c>
      <c r="C52" s="116" t="s">
        <v>318</v>
      </c>
      <c r="D52" s="117">
        <v>529362</v>
      </c>
      <c r="E52" s="117">
        <v>110</v>
      </c>
      <c r="F52" s="131">
        <v>0</v>
      </c>
      <c r="G52" s="132">
        <f>SUM(D52:F52)</f>
        <v>529472</v>
      </c>
    </row>
    <row r="53" spans="1:7" s="94" customFormat="1" ht="15">
      <c r="A53" s="145">
        <v>1.3</v>
      </c>
      <c r="B53" s="111" t="s">
        <v>277</v>
      </c>
      <c r="C53" s="116" t="s">
        <v>291</v>
      </c>
      <c r="D53" s="117">
        <f>7699512.2816+1787000</f>
        <v>9486512.2816000003</v>
      </c>
      <c r="E53" s="117">
        <v>0</v>
      </c>
      <c r="F53" s="131">
        <v>0</v>
      </c>
      <c r="G53" s="132">
        <f t="shared" ref="G53:G80" si="1">SUM(D53:F53)</f>
        <v>9486512.2816000003</v>
      </c>
    </row>
    <row r="54" spans="1:7" s="94" customFormat="1" ht="15">
      <c r="A54" s="145" t="s">
        <v>373</v>
      </c>
      <c r="B54" s="111" t="s">
        <v>280</v>
      </c>
      <c r="C54" s="116" t="s">
        <v>374</v>
      </c>
      <c r="D54" s="117">
        <v>5</v>
      </c>
      <c r="E54" s="117">
        <v>0</v>
      </c>
      <c r="F54" s="131">
        <v>0</v>
      </c>
      <c r="G54" s="132">
        <f t="shared" si="1"/>
        <v>5</v>
      </c>
    </row>
    <row r="55" spans="1:7" s="94" customFormat="1" ht="15">
      <c r="A55" s="145" t="s">
        <v>375</v>
      </c>
      <c r="B55" s="111" t="s">
        <v>280</v>
      </c>
      <c r="C55" s="116" t="s">
        <v>376</v>
      </c>
      <c r="D55" s="117">
        <v>1</v>
      </c>
      <c r="E55" s="117">
        <v>0</v>
      </c>
      <c r="F55" s="131">
        <v>0</v>
      </c>
      <c r="G55" s="132">
        <f t="shared" si="1"/>
        <v>1</v>
      </c>
    </row>
    <row r="56" spans="1:7" s="94" customFormat="1" ht="15">
      <c r="A56" s="145" t="s">
        <v>304</v>
      </c>
      <c r="B56" s="111" t="s">
        <v>280</v>
      </c>
      <c r="C56" s="116" t="s">
        <v>305</v>
      </c>
      <c r="D56" s="117">
        <f>8+29+9+5</f>
        <v>51</v>
      </c>
      <c r="E56" s="117">
        <v>0</v>
      </c>
      <c r="F56" s="131">
        <v>0</v>
      </c>
      <c r="G56" s="132">
        <f t="shared" si="1"/>
        <v>51</v>
      </c>
    </row>
    <row r="57" spans="1:7">
      <c r="A57" s="128" t="s">
        <v>390</v>
      </c>
      <c r="B57" s="142"/>
      <c r="C57" s="143"/>
      <c r="D57" s="133"/>
      <c r="E57" s="117"/>
      <c r="F57" s="131"/>
      <c r="G57" s="132"/>
    </row>
    <row r="58" spans="1:7">
      <c r="A58" s="145">
        <v>2.1</v>
      </c>
      <c r="B58" s="111" t="s">
        <v>277</v>
      </c>
      <c r="C58" s="116" t="s">
        <v>365</v>
      </c>
      <c r="D58" s="144">
        <v>197160</v>
      </c>
      <c r="E58" s="117">
        <v>0</v>
      </c>
      <c r="F58" s="131">
        <v>0</v>
      </c>
      <c r="G58" s="132">
        <f t="shared" si="1"/>
        <v>197160</v>
      </c>
    </row>
    <row r="59" spans="1:7">
      <c r="A59" s="145">
        <v>2.2999999999999998</v>
      </c>
      <c r="B59" s="111" t="s">
        <v>277</v>
      </c>
      <c r="C59" s="116" t="s">
        <v>366</v>
      </c>
      <c r="D59" s="117">
        <v>1682</v>
      </c>
      <c r="E59" s="117">
        <v>0</v>
      </c>
      <c r="F59" s="131">
        <v>0</v>
      </c>
      <c r="G59" s="132">
        <f t="shared" si="1"/>
        <v>1682</v>
      </c>
    </row>
    <row r="60" spans="1:7" ht="30">
      <c r="A60" s="145">
        <v>2.5</v>
      </c>
      <c r="B60" s="111" t="s">
        <v>277</v>
      </c>
      <c r="C60" s="116" t="s">
        <v>367</v>
      </c>
      <c r="D60" s="117">
        <v>865</v>
      </c>
      <c r="E60" s="117">
        <v>0</v>
      </c>
      <c r="F60" s="131">
        <v>0</v>
      </c>
      <c r="G60" s="132">
        <f t="shared" si="1"/>
        <v>865</v>
      </c>
    </row>
    <row r="61" spans="1:7">
      <c r="A61" s="145" t="s">
        <v>306</v>
      </c>
      <c r="B61" s="111" t="s">
        <v>280</v>
      </c>
      <c r="C61" s="116" t="s">
        <v>307</v>
      </c>
      <c r="D61" s="144">
        <f>16357303.921+857760+6580230</f>
        <v>23795293.921</v>
      </c>
      <c r="E61" s="117">
        <v>0</v>
      </c>
      <c r="F61" s="131">
        <v>0</v>
      </c>
      <c r="G61" s="132">
        <f t="shared" si="1"/>
        <v>23795293.921</v>
      </c>
    </row>
    <row r="62" spans="1:7" ht="30">
      <c r="A62" s="145" t="s">
        <v>308</v>
      </c>
      <c r="B62" s="111" t="s">
        <v>280</v>
      </c>
      <c r="C62" s="116" t="s">
        <v>309</v>
      </c>
      <c r="D62" s="144">
        <v>5</v>
      </c>
      <c r="E62" s="117">
        <v>0</v>
      </c>
      <c r="F62" s="131">
        <v>0</v>
      </c>
      <c r="G62" s="132">
        <f t="shared" si="1"/>
        <v>5</v>
      </c>
    </row>
    <row r="63" spans="1:7" ht="30">
      <c r="A63" s="145" t="s">
        <v>368</v>
      </c>
      <c r="B63" s="111" t="s">
        <v>280</v>
      </c>
      <c r="C63" s="116" t="s">
        <v>369</v>
      </c>
      <c r="D63" s="117">
        <v>4</v>
      </c>
      <c r="E63" s="117">
        <v>0</v>
      </c>
      <c r="F63" s="131">
        <v>0</v>
      </c>
      <c r="G63" s="132">
        <f t="shared" si="1"/>
        <v>4</v>
      </c>
    </row>
    <row r="64" spans="1:7">
      <c r="A64" s="128" t="s">
        <v>391</v>
      </c>
      <c r="B64" s="142"/>
      <c r="C64" s="143"/>
      <c r="D64" s="129"/>
      <c r="E64" s="117"/>
      <c r="F64" s="131"/>
      <c r="G64" s="132"/>
    </row>
    <row r="65" spans="1:7">
      <c r="A65" s="145">
        <v>3.1</v>
      </c>
      <c r="B65" s="111" t="s">
        <v>277</v>
      </c>
      <c r="C65" s="116" t="s">
        <v>319</v>
      </c>
      <c r="D65" s="117">
        <f>36092+31449+72891+1060000</f>
        <v>1200432</v>
      </c>
      <c r="E65" s="117">
        <f>187720+8099782</f>
        <v>8287502</v>
      </c>
      <c r="F65" s="131">
        <v>0</v>
      </c>
      <c r="G65" s="132">
        <f t="shared" si="1"/>
        <v>9487934</v>
      </c>
    </row>
    <row r="66" spans="1:7">
      <c r="A66" s="145" t="s">
        <v>313</v>
      </c>
      <c r="B66" s="111" t="s">
        <v>280</v>
      </c>
      <c r="C66" s="116" t="s">
        <v>314</v>
      </c>
      <c r="D66" s="117">
        <v>480.8</v>
      </c>
      <c r="E66" s="131">
        <f>100+3400.3</f>
        <v>3500.3</v>
      </c>
      <c r="F66" s="131">
        <v>0</v>
      </c>
      <c r="G66" s="132">
        <f t="shared" si="1"/>
        <v>3981.1000000000004</v>
      </c>
    </row>
    <row r="67" spans="1:7">
      <c r="A67" s="128" t="s">
        <v>392</v>
      </c>
      <c r="B67" s="111"/>
      <c r="C67" s="116"/>
      <c r="D67" s="130"/>
      <c r="E67" s="131"/>
      <c r="F67" s="131"/>
      <c r="G67" s="132"/>
    </row>
    <row r="68" spans="1:7">
      <c r="A68" s="145">
        <v>4.0999999999999996</v>
      </c>
      <c r="B68" s="111" t="s">
        <v>277</v>
      </c>
      <c r="C68" s="116" t="s">
        <v>293</v>
      </c>
      <c r="D68" s="117">
        <v>8345563.2250000006</v>
      </c>
      <c r="E68" s="131">
        <v>0</v>
      </c>
      <c r="F68" s="131">
        <v>0</v>
      </c>
      <c r="G68" s="132">
        <f t="shared" si="1"/>
        <v>8345563.2250000006</v>
      </c>
    </row>
    <row r="69" spans="1:7">
      <c r="A69" s="145" t="s">
        <v>295</v>
      </c>
      <c r="B69" s="111" t="s">
        <v>280</v>
      </c>
      <c r="C69" s="116" t="s">
        <v>296</v>
      </c>
      <c r="D69" s="117">
        <f>8+29+9+5</f>
        <v>51</v>
      </c>
      <c r="E69" s="131">
        <v>0</v>
      </c>
      <c r="F69" s="131">
        <v>0</v>
      </c>
      <c r="G69" s="132">
        <f t="shared" si="1"/>
        <v>51</v>
      </c>
    </row>
    <row r="70" spans="1:7">
      <c r="A70" s="128" t="s">
        <v>393</v>
      </c>
      <c r="B70" s="142"/>
      <c r="C70" s="143"/>
      <c r="D70" s="129"/>
      <c r="E70" s="131"/>
      <c r="F70" s="131"/>
      <c r="G70" s="132"/>
    </row>
    <row r="71" spans="1:7">
      <c r="A71" s="145">
        <v>5.0999999999999996</v>
      </c>
      <c r="B71" s="111" t="s">
        <v>277</v>
      </c>
      <c r="C71" s="116" t="s">
        <v>343</v>
      </c>
      <c r="D71" s="117">
        <f>15022013.805+1787000</f>
        <v>16809013.805</v>
      </c>
      <c r="E71" s="131">
        <v>0</v>
      </c>
      <c r="F71" s="131">
        <v>0</v>
      </c>
      <c r="G71" s="132">
        <f t="shared" si="1"/>
        <v>16809013.805</v>
      </c>
    </row>
    <row r="72" spans="1:7">
      <c r="A72" s="145" t="s">
        <v>315</v>
      </c>
      <c r="B72" s="111" t="s">
        <v>280</v>
      </c>
      <c r="C72" s="116" t="s">
        <v>316</v>
      </c>
      <c r="D72" s="117">
        <f>8+29+9+5+55+1</f>
        <v>107</v>
      </c>
      <c r="E72" s="131">
        <v>0</v>
      </c>
      <c r="F72" s="131">
        <v>0</v>
      </c>
      <c r="G72" s="132">
        <f t="shared" si="1"/>
        <v>107</v>
      </c>
    </row>
    <row r="73" spans="1:7">
      <c r="A73" s="128" t="s">
        <v>394</v>
      </c>
      <c r="B73" s="142"/>
      <c r="C73" s="143"/>
      <c r="D73" s="133"/>
      <c r="E73" s="131"/>
      <c r="F73" s="131"/>
      <c r="G73" s="132"/>
    </row>
    <row r="74" spans="1:7">
      <c r="A74" s="145">
        <v>6.1</v>
      </c>
      <c r="B74" s="111" t="s">
        <v>277</v>
      </c>
      <c r="C74" s="116" t="s">
        <v>334</v>
      </c>
      <c r="D74" s="117">
        <f>3+1+1+1</f>
        <v>6</v>
      </c>
      <c r="E74" s="131">
        <v>0</v>
      </c>
      <c r="F74" s="131">
        <v>0</v>
      </c>
      <c r="G74" s="132">
        <f t="shared" si="1"/>
        <v>6</v>
      </c>
    </row>
    <row r="75" spans="1:7">
      <c r="A75" s="145">
        <v>6.2</v>
      </c>
      <c r="B75" s="111" t="s">
        <v>277</v>
      </c>
      <c r="C75" s="116" t="s">
        <v>303</v>
      </c>
      <c r="D75" s="117">
        <f>10+1</f>
        <v>11</v>
      </c>
      <c r="E75" s="131">
        <v>0</v>
      </c>
      <c r="F75" s="131">
        <v>0</v>
      </c>
      <c r="G75" s="132">
        <f t="shared" si="1"/>
        <v>11</v>
      </c>
    </row>
    <row r="76" spans="1:7" ht="30">
      <c r="A76" s="145" t="s">
        <v>310</v>
      </c>
      <c r="B76" s="111" t="s">
        <v>280</v>
      </c>
      <c r="C76" s="116" t="s">
        <v>311</v>
      </c>
      <c r="D76" s="117">
        <f>3493+705+944</f>
        <v>5142</v>
      </c>
      <c r="E76" s="131">
        <v>0</v>
      </c>
      <c r="F76" s="131">
        <v>0</v>
      </c>
      <c r="G76" s="132">
        <f t="shared" si="1"/>
        <v>5142</v>
      </c>
    </row>
    <row r="77" spans="1:7" ht="30">
      <c r="A77" s="145" t="s">
        <v>377</v>
      </c>
      <c r="B77" s="111" t="s">
        <v>280</v>
      </c>
      <c r="C77" s="116" t="s">
        <v>378</v>
      </c>
      <c r="D77" s="117">
        <v>1</v>
      </c>
      <c r="E77" s="131">
        <v>0</v>
      </c>
      <c r="F77" s="131">
        <v>0</v>
      </c>
      <c r="G77" s="132">
        <f t="shared" si="1"/>
        <v>1</v>
      </c>
    </row>
    <row r="78" spans="1:7" ht="30">
      <c r="A78" s="145" t="s">
        <v>360</v>
      </c>
      <c r="B78" s="111" t="s">
        <v>280</v>
      </c>
      <c r="C78" s="116" t="s">
        <v>361</v>
      </c>
      <c r="D78" s="117">
        <f>1+3+2</f>
        <v>6</v>
      </c>
      <c r="E78" s="131">
        <v>0</v>
      </c>
      <c r="F78" s="131">
        <v>0</v>
      </c>
      <c r="G78" s="132">
        <f t="shared" si="1"/>
        <v>6</v>
      </c>
    </row>
    <row r="79" spans="1:7" ht="30">
      <c r="A79" s="145" t="s">
        <v>362</v>
      </c>
      <c r="B79" s="111" t="s">
        <v>280</v>
      </c>
      <c r="C79" s="116" t="s">
        <v>363</v>
      </c>
      <c r="D79" s="117">
        <f>3+3+1</f>
        <v>7</v>
      </c>
      <c r="E79" s="131">
        <v>0</v>
      </c>
      <c r="F79" s="131">
        <v>0</v>
      </c>
      <c r="G79" s="132">
        <f t="shared" si="1"/>
        <v>7</v>
      </c>
    </row>
    <row r="80" spans="1:7">
      <c r="A80" s="146" t="s">
        <v>370</v>
      </c>
      <c r="B80" s="147" t="s">
        <v>280</v>
      </c>
      <c r="C80" s="148" t="s">
        <v>371</v>
      </c>
      <c r="D80" s="149">
        <v>1</v>
      </c>
      <c r="E80" s="134">
        <v>0</v>
      </c>
      <c r="F80" s="134">
        <v>0</v>
      </c>
      <c r="G80" s="135">
        <f t="shared" si="1"/>
        <v>1</v>
      </c>
    </row>
    <row r="82" spans="1:7">
      <c r="A82" s="158">
        <v>2021</v>
      </c>
      <c r="B82" s="94"/>
      <c r="C82" s="95"/>
      <c r="D82" s="96"/>
    </row>
    <row r="83" spans="1:7">
      <c r="A83" s="124" t="s">
        <v>383</v>
      </c>
      <c r="B83" s="125" t="s">
        <v>272</v>
      </c>
      <c r="C83" s="125" t="s">
        <v>384</v>
      </c>
      <c r="D83" s="165" t="s">
        <v>385</v>
      </c>
      <c r="E83" s="165" t="s">
        <v>386</v>
      </c>
      <c r="F83" s="165" t="s">
        <v>387</v>
      </c>
      <c r="G83" s="166" t="s">
        <v>388</v>
      </c>
    </row>
    <row r="84" spans="1:7">
      <c r="A84" s="128" t="s">
        <v>389</v>
      </c>
      <c r="B84" s="142"/>
      <c r="C84" s="143"/>
      <c r="D84" s="129"/>
      <c r="E84" s="170"/>
      <c r="F84" s="170"/>
      <c r="G84" s="132"/>
    </row>
    <row r="85" spans="1:7">
      <c r="A85" s="145">
        <v>1.2</v>
      </c>
      <c r="B85" s="111" t="s">
        <v>277</v>
      </c>
      <c r="C85" s="116" t="s">
        <v>318</v>
      </c>
      <c r="D85" s="167">
        <f>2502.82136226291+'2021'!D18+'2021'!D28+'2021'!D58+'2021'!D65+'2021'!D93+'2021'!D108</f>
        <v>1064360.2583855949</v>
      </c>
      <c r="E85" s="167">
        <f>5720+'2021'!D145+'2021'!D148+'2021'!D153</f>
        <v>11071</v>
      </c>
      <c r="F85" s="131">
        <v>0</v>
      </c>
      <c r="G85" s="132">
        <f t="shared" ref="G85:G137" si="2">SUM(D85:F85)</f>
        <v>1075431.2583855949</v>
      </c>
    </row>
    <row r="86" spans="1:7">
      <c r="A86" s="145">
        <v>1.3</v>
      </c>
      <c r="B86" s="111" t="s">
        <v>277</v>
      </c>
      <c r="C86" s="116" t="s">
        <v>291</v>
      </c>
      <c r="D86" s="167">
        <f>10200+'2021'!D54</f>
        <v>10770200</v>
      </c>
      <c r="E86" s="164" t="s">
        <v>236</v>
      </c>
      <c r="F86" s="131">
        <v>0</v>
      </c>
      <c r="G86" s="132">
        <f t="shared" si="2"/>
        <v>10770200</v>
      </c>
    </row>
    <row r="87" spans="1:7">
      <c r="A87" s="145" t="s">
        <v>320</v>
      </c>
      <c r="B87" s="111" t="s">
        <v>280</v>
      </c>
      <c r="C87" s="116" t="s">
        <v>321</v>
      </c>
      <c r="D87" s="167">
        <f>4528+'2021'!D31</f>
        <v>5063</v>
      </c>
      <c r="E87" s="167">
        <v>15816</v>
      </c>
      <c r="F87" s="131">
        <v>0</v>
      </c>
      <c r="G87" s="132">
        <f t="shared" si="2"/>
        <v>20879</v>
      </c>
    </row>
    <row r="88" spans="1:7">
      <c r="A88" s="145" t="s">
        <v>429</v>
      </c>
      <c r="B88" s="111" t="s">
        <v>280</v>
      </c>
      <c r="C88" s="116" t="s">
        <v>430</v>
      </c>
      <c r="D88" s="164" t="s">
        <v>236</v>
      </c>
      <c r="E88" s="167">
        <v>1</v>
      </c>
      <c r="F88" s="131" t="s">
        <v>236</v>
      </c>
      <c r="G88" s="132">
        <f t="shared" si="2"/>
        <v>1</v>
      </c>
    </row>
    <row r="89" spans="1:7">
      <c r="A89" s="145" t="s">
        <v>304</v>
      </c>
      <c r="B89" s="111" t="s">
        <v>280</v>
      </c>
      <c r="C89" s="116" t="s">
        <v>305</v>
      </c>
      <c r="D89" s="163">
        <v>1</v>
      </c>
      <c r="E89" s="164" t="s">
        <v>236</v>
      </c>
      <c r="F89" s="131" t="s">
        <v>236</v>
      </c>
      <c r="G89" s="132">
        <f t="shared" si="2"/>
        <v>1</v>
      </c>
    </row>
    <row r="90" spans="1:7">
      <c r="A90" s="145" t="s">
        <v>335</v>
      </c>
      <c r="B90" s="111" t="s">
        <v>280</v>
      </c>
      <c r="C90" s="116" t="s">
        <v>336</v>
      </c>
      <c r="D90" s="162" t="s">
        <v>236</v>
      </c>
      <c r="E90" s="163">
        <v>5</v>
      </c>
      <c r="F90" s="131" t="s">
        <v>236</v>
      </c>
      <c r="G90" s="132">
        <f t="shared" si="2"/>
        <v>5</v>
      </c>
    </row>
    <row r="91" spans="1:7">
      <c r="A91" s="128" t="s">
        <v>390</v>
      </c>
      <c r="B91" s="142"/>
      <c r="C91" s="143"/>
      <c r="D91" s="133"/>
      <c r="E91" s="131"/>
      <c r="F91" s="131"/>
      <c r="G91" s="132"/>
    </row>
    <row r="92" spans="1:7">
      <c r="A92" s="145">
        <v>2.1</v>
      </c>
      <c r="B92" s="111" t="s">
        <v>277</v>
      </c>
      <c r="C92" s="116" t="s">
        <v>365</v>
      </c>
      <c r="D92" s="163">
        <f>2087+'2021'!D66+'2021'!D78+'2021'!D94+'2021'!D109</f>
        <v>538286.76031329099</v>
      </c>
      <c r="E92" s="167">
        <v>1673</v>
      </c>
      <c r="F92" s="131" t="s">
        <v>236</v>
      </c>
      <c r="G92" s="132">
        <f t="shared" si="2"/>
        <v>539959.76031329099</v>
      </c>
    </row>
    <row r="93" spans="1:7">
      <c r="A93" s="145">
        <v>2.2000000000000002</v>
      </c>
      <c r="B93" s="111" t="s">
        <v>277</v>
      </c>
      <c r="C93" s="116" t="s">
        <v>342</v>
      </c>
      <c r="D93" s="164" t="s">
        <v>236</v>
      </c>
      <c r="E93" s="167">
        <v>9161198</v>
      </c>
      <c r="F93" s="131" t="s">
        <v>236</v>
      </c>
      <c r="G93" s="132">
        <f t="shared" si="2"/>
        <v>9161198</v>
      </c>
    </row>
    <row r="94" spans="1:7">
      <c r="A94" s="145">
        <v>2.2999999999999998</v>
      </c>
      <c r="B94" s="111" t="s">
        <v>277</v>
      </c>
      <c r="C94" s="116" t="s">
        <v>366</v>
      </c>
      <c r="D94" s="167">
        <f>295+'2021'!D67+'2021'!D95</f>
        <v>4541</v>
      </c>
      <c r="E94" s="164" t="s">
        <v>236</v>
      </c>
      <c r="F94" s="131" t="s">
        <v>236</v>
      </c>
      <c r="G94" s="132">
        <f t="shared" si="2"/>
        <v>4541</v>
      </c>
    </row>
    <row r="95" spans="1:7">
      <c r="A95" s="145">
        <v>2.4</v>
      </c>
      <c r="B95" s="111" t="s">
        <v>277</v>
      </c>
      <c r="C95" s="116" t="s">
        <v>302</v>
      </c>
      <c r="D95" s="163">
        <v>6961509.270823326</v>
      </c>
      <c r="E95" s="164" t="s">
        <v>236</v>
      </c>
      <c r="F95" s="131" t="s">
        <v>236</v>
      </c>
      <c r="G95" s="132">
        <f t="shared" si="2"/>
        <v>6961509.270823326</v>
      </c>
    </row>
    <row r="96" spans="1:7">
      <c r="A96" s="145" t="s">
        <v>322</v>
      </c>
      <c r="B96" s="111" t="s">
        <v>280</v>
      </c>
      <c r="C96" s="116" t="s">
        <v>323</v>
      </c>
      <c r="D96" s="163">
        <f>0+'2021'!D69</f>
        <v>1098</v>
      </c>
      <c r="E96" s="164" t="s">
        <v>236</v>
      </c>
      <c r="F96" s="131" t="s">
        <v>236</v>
      </c>
      <c r="G96" s="132">
        <f t="shared" si="2"/>
        <v>1098</v>
      </c>
    </row>
    <row r="97" spans="1:7">
      <c r="A97" s="145" t="s">
        <v>339</v>
      </c>
      <c r="B97" s="111" t="s">
        <v>280</v>
      </c>
      <c r="C97" s="116" t="s">
        <v>340</v>
      </c>
      <c r="D97" s="162" t="s">
        <v>236</v>
      </c>
      <c r="E97" s="163">
        <v>9161198</v>
      </c>
      <c r="F97" s="131" t="s">
        <v>236</v>
      </c>
      <c r="G97" s="132">
        <f t="shared" si="2"/>
        <v>9161198</v>
      </c>
    </row>
    <row r="98" spans="1:7" ht="30">
      <c r="A98" s="145" t="s">
        <v>344</v>
      </c>
      <c r="B98" s="111" t="s">
        <v>280</v>
      </c>
      <c r="C98" s="116" t="s">
        <v>345</v>
      </c>
      <c r="D98" s="162" t="s">
        <v>236</v>
      </c>
      <c r="E98" s="163">
        <v>21666</v>
      </c>
      <c r="F98" s="131" t="s">
        <v>236</v>
      </c>
      <c r="G98" s="132">
        <f t="shared" si="2"/>
        <v>21666</v>
      </c>
    </row>
    <row r="99" spans="1:7">
      <c r="A99" s="145" t="s">
        <v>306</v>
      </c>
      <c r="B99" s="111" t="s">
        <v>280</v>
      </c>
      <c r="C99" s="116" t="s">
        <v>307</v>
      </c>
      <c r="D99" s="167">
        <f>189600+'2021'!D98+'2021'!D110</f>
        <v>802175</v>
      </c>
      <c r="E99" s="167">
        <v>2217</v>
      </c>
      <c r="F99" s="131" t="s">
        <v>236</v>
      </c>
      <c r="G99" s="132">
        <f t="shared" si="2"/>
        <v>804392</v>
      </c>
    </row>
    <row r="100" spans="1:7">
      <c r="A100" s="145" t="s">
        <v>279</v>
      </c>
      <c r="B100" s="111" t="s">
        <v>280</v>
      </c>
      <c r="C100" s="116" t="s">
        <v>281</v>
      </c>
      <c r="D100" s="167">
        <v>1</v>
      </c>
      <c r="E100" s="164" t="s">
        <v>236</v>
      </c>
      <c r="F100" s="131" t="s">
        <v>236</v>
      </c>
      <c r="G100" s="132">
        <f t="shared" si="2"/>
        <v>1</v>
      </c>
    </row>
    <row r="101" spans="1:7" ht="30">
      <c r="A101" s="145" t="s">
        <v>308</v>
      </c>
      <c r="B101" s="111" t="s">
        <v>280</v>
      </c>
      <c r="C101" s="116" t="s">
        <v>309</v>
      </c>
      <c r="D101" s="167">
        <f>1+'2021'!D22+'2021'!D32+'2021'!D40+'2021'!D111</f>
        <v>10</v>
      </c>
      <c r="E101" s="164" t="s">
        <v>236</v>
      </c>
      <c r="F101" s="131" t="s">
        <v>236</v>
      </c>
      <c r="G101" s="132">
        <f t="shared" si="2"/>
        <v>10</v>
      </c>
    </row>
    <row r="102" spans="1:7">
      <c r="A102" s="128" t="s">
        <v>391</v>
      </c>
      <c r="B102" s="142"/>
      <c r="C102" s="143"/>
      <c r="D102" s="129"/>
      <c r="E102" s="167"/>
      <c r="F102" s="131"/>
      <c r="G102" s="132"/>
    </row>
    <row r="103" spans="1:7">
      <c r="A103" s="145">
        <v>3.1</v>
      </c>
      <c r="B103" s="111" t="s">
        <v>277</v>
      </c>
      <c r="C103" s="116" t="s">
        <v>319</v>
      </c>
      <c r="D103" s="164" t="s">
        <v>236</v>
      </c>
      <c r="E103" s="167">
        <f>3600000+'2021'!D149+'2021'!D154+'2021'!D158</f>
        <v>4353186.1437499998</v>
      </c>
      <c r="F103" s="131" t="s">
        <v>236</v>
      </c>
      <c r="G103" s="132">
        <f t="shared" si="2"/>
        <v>4353186.1437499998</v>
      </c>
    </row>
    <row r="104" spans="1:7">
      <c r="A104" s="145">
        <v>3.2</v>
      </c>
      <c r="B104" s="111" t="s">
        <v>277</v>
      </c>
      <c r="C104" s="116" t="s">
        <v>417</v>
      </c>
      <c r="D104" s="167">
        <v>42600</v>
      </c>
      <c r="E104" s="164" t="s">
        <v>236</v>
      </c>
      <c r="F104" s="131" t="s">
        <v>236</v>
      </c>
      <c r="G104" s="132">
        <f t="shared" si="2"/>
        <v>42600</v>
      </c>
    </row>
    <row r="105" spans="1:7">
      <c r="A105" s="145">
        <v>3.3</v>
      </c>
      <c r="B105" s="111" t="s">
        <v>277</v>
      </c>
      <c r="C105" s="116" t="s">
        <v>292</v>
      </c>
      <c r="D105" s="167">
        <f>411217+'2021'!D115+'2021'!D121</f>
        <v>1063892</v>
      </c>
      <c r="E105" s="164" t="s">
        <v>236</v>
      </c>
      <c r="F105" s="131" t="s">
        <v>236</v>
      </c>
      <c r="G105" s="132">
        <f t="shared" si="2"/>
        <v>1063892</v>
      </c>
    </row>
    <row r="106" spans="1:7" ht="30">
      <c r="A106" s="145" t="s">
        <v>436</v>
      </c>
      <c r="B106" s="111" t="s">
        <v>280</v>
      </c>
      <c r="C106" s="116" t="s">
        <v>437</v>
      </c>
      <c r="D106" s="164" t="s">
        <v>236</v>
      </c>
      <c r="E106" s="164" t="s">
        <v>236</v>
      </c>
      <c r="F106" s="167">
        <v>32</v>
      </c>
      <c r="G106" s="132">
        <f t="shared" si="2"/>
        <v>32</v>
      </c>
    </row>
    <row r="107" spans="1:7">
      <c r="A107" s="145" t="s">
        <v>326</v>
      </c>
      <c r="B107" s="111" t="s">
        <v>280</v>
      </c>
      <c r="C107" s="116" t="s">
        <v>327</v>
      </c>
      <c r="D107" s="164" t="s">
        <v>236</v>
      </c>
      <c r="E107" s="167">
        <v>1</v>
      </c>
      <c r="F107" s="131" t="s">
        <v>236</v>
      </c>
      <c r="G107" s="132">
        <f t="shared" si="2"/>
        <v>1</v>
      </c>
    </row>
    <row r="108" spans="1:7">
      <c r="A108" s="145" t="s">
        <v>313</v>
      </c>
      <c r="B108" s="111" t="s">
        <v>280</v>
      </c>
      <c r="C108" s="116" t="s">
        <v>314</v>
      </c>
      <c r="D108" s="164" t="s">
        <v>236</v>
      </c>
      <c r="E108" s="167">
        <f>250+'2021'!D161</f>
        <v>260</v>
      </c>
      <c r="F108" s="131" t="s">
        <v>236</v>
      </c>
      <c r="G108" s="132">
        <f t="shared" si="2"/>
        <v>260</v>
      </c>
    </row>
    <row r="109" spans="1:7">
      <c r="A109" s="145" t="s">
        <v>414</v>
      </c>
      <c r="B109" s="111" t="s">
        <v>280</v>
      </c>
      <c r="C109" s="116" t="s">
        <v>415</v>
      </c>
      <c r="D109" s="167">
        <v>2</v>
      </c>
      <c r="E109" s="167">
        <v>1</v>
      </c>
      <c r="F109" s="131" t="s">
        <v>236</v>
      </c>
      <c r="G109" s="132">
        <f t="shared" si="2"/>
        <v>3</v>
      </c>
    </row>
    <row r="110" spans="1:7">
      <c r="A110" s="145" t="s">
        <v>402</v>
      </c>
      <c r="B110" s="111" t="s">
        <v>280</v>
      </c>
      <c r="C110" s="116" t="s">
        <v>403</v>
      </c>
      <c r="D110" s="167">
        <v>2056</v>
      </c>
      <c r="E110" s="164" t="s">
        <v>236</v>
      </c>
      <c r="F110" s="131">
        <v>0</v>
      </c>
      <c r="G110" s="132">
        <f t="shared" si="2"/>
        <v>2056</v>
      </c>
    </row>
    <row r="111" spans="1:7" ht="30">
      <c r="A111" s="145" t="s">
        <v>438</v>
      </c>
      <c r="B111" s="111" t="s">
        <v>280</v>
      </c>
      <c r="C111" s="116" t="s">
        <v>439</v>
      </c>
      <c r="D111" s="171" t="s">
        <v>236</v>
      </c>
      <c r="E111" s="164" t="s">
        <v>236</v>
      </c>
      <c r="F111" s="167">
        <v>2</v>
      </c>
      <c r="G111" s="132">
        <f t="shared" si="2"/>
        <v>2</v>
      </c>
    </row>
    <row r="112" spans="1:7" ht="30">
      <c r="A112" s="145" t="s">
        <v>440</v>
      </c>
      <c r="B112" s="111" t="s">
        <v>280</v>
      </c>
      <c r="C112" s="116" t="s">
        <v>441</v>
      </c>
      <c r="D112" s="171" t="s">
        <v>236</v>
      </c>
      <c r="E112" s="164" t="s">
        <v>236</v>
      </c>
      <c r="F112" s="167">
        <v>2</v>
      </c>
      <c r="G112" s="132">
        <f t="shared" si="2"/>
        <v>2</v>
      </c>
    </row>
    <row r="113" spans="1:7">
      <c r="A113" s="145" t="s">
        <v>282</v>
      </c>
      <c r="B113" s="111" t="s">
        <v>280</v>
      </c>
      <c r="C113" s="116" t="s">
        <v>283</v>
      </c>
      <c r="D113" s="167">
        <f>1+'2021'!D56+'2021'!D74+'2021'!D101+'2021'!D112</f>
        <v>42</v>
      </c>
      <c r="E113" s="164" t="s">
        <v>236</v>
      </c>
      <c r="F113" s="131">
        <v>0</v>
      </c>
      <c r="G113" s="132">
        <f t="shared" si="2"/>
        <v>42</v>
      </c>
    </row>
    <row r="114" spans="1:7">
      <c r="A114" s="145" t="s">
        <v>328</v>
      </c>
      <c r="B114" s="111" t="s">
        <v>280</v>
      </c>
      <c r="C114" s="116" t="s">
        <v>329</v>
      </c>
      <c r="D114" s="167">
        <f>1+'2021'!D48+'2021'!D81+Table1367891011124[[#This Row],[Achieved Result]]+'2021'!D123</f>
        <v>10</v>
      </c>
      <c r="E114" s="164" t="s">
        <v>236</v>
      </c>
      <c r="F114" s="131">
        <v>0</v>
      </c>
      <c r="G114" s="132">
        <f t="shared" si="2"/>
        <v>10</v>
      </c>
    </row>
    <row r="115" spans="1:7">
      <c r="A115" s="145" t="s">
        <v>330</v>
      </c>
      <c r="B115" s="111" t="s">
        <v>280</v>
      </c>
      <c r="C115" s="116" t="s">
        <v>331</v>
      </c>
      <c r="D115" s="167">
        <v>2</v>
      </c>
      <c r="E115" s="164" t="s">
        <v>236</v>
      </c>
      <c r="F115" s="131">
        <v>0</v>
      </c>
      <c r="G115" s="132">
        <f t="shared" si="2"/>
        <v>2</v>
      </c>
    </row>
    <row r="116" spans="1:7">
      <c r="A116" s="145" t="s">
        <v>418</v>
      </c>
      <c r="B116" s="111" t="s">
        <v>280</v>
      </c>
      <c r="C116" s="116" t="s">
        <v>419</v>
      </c>
      <c r="D116" s="167">
        <v>199</v>
      </c>
      <c r="E116" s="164" t="s">
        <v>236</v>
      </c>
      <c r="F116" s="131">
        <v>0</v>
      </c>
      <c r="G116" s="132">
        <f t="shared" si="2"/>
        <v>199</v>
      </c>
    </row>
    <row r="117" spans="1:7" ht="30">
      <c r="A117" s="145" t="s">
        <v>284</v>
      </c>
      <c r="B117" s="111" t="s">
        <v>280</v>
      </c>
      <c r="C117" s="116" t="s">
        <v>285</v>
      </c>
      <c r="D117" s="164" t="s">
        <v>236</v>
      </c>
      <c r="E117" s="164" t="s">
        <v>236</v>
      </c>
      <c r="F117" s="167">
        <v>3</v>
      </c>
      <c r="G117" s="132">
        <f t="shared" si="2"/>
        <v>3</v>
      </c>
    </row>
    <row r="118" spans="1:7">
      <c r="A118" s="128" t="s">
        <v>392</v>
      </c>
      <c r="B118" s="111"/>
      <c r="C118" s="116"/>
      <c r="D118" s="168"/>
      <c r="E118" s="164"/>
      <c r="F118" s="131"/>
      <c r="G118" s="132"/>
    </row>
    <row r="119" spans="1:7">
      <c r="A119" s="145">
        <v>4.0999999999999996</v>
      </c>
      <c r="B119" s="111" t="s">
        <v>277</v>
      </c>
      <c r="C119" s="116" t="s">
        <v>293</v>
      </c>
      <c r="D119" s="167">
        <f>1800000+'2021'!D80+'2021'!D116+'2021'!D122</f>
        <v>5084435</v>
      </c>
      <c r="E119" s="164" t="s">
        <v>236</v>
      </c>
      <c r="F119" s="131">
        <v>0</v>
      </c>
      <c r="G119" s="132">
        <f t="shared" si="2"/>
        <v>5084435</v>
      </c>
    </row>
    <row r="120" spans="1:7">
      <c r="A120" s="145" t="s">
        <v>286</v>
      </c>
      <c r="B120" s="111" t="s">
        <v>280</v>
      </c>
      <c r="C120" s="116" t="s">
        <v>287</v>
      </c>
      <c r="D120" s="167">
        <f>6+Table1367891011124[[#This Row],[Achieved Result]]</f>
        <v>6</v>
      </c>
      <c r="E120" s="164" t="s">
        <v>236</v>
      </c>
      <c r="F120" s="131">
        <v>0</v>
      </c>
      <c r="G120" s="132">
        <f t="shared" si="2"/>
        <v>6</v>
      </c>
    </row>
    <row r="121" spans="1:7">
      <c r="A121" s="145" t="s">
        <v>295</v>
      </c>
      <c r="B121" s="111" t="s">
        <v>280</v>
      </c>
      <c r="C121" s="116" t="s">
        <v>296</v>
      </c>
      <c r="D121" s="167">
        <f>3+'2021'!D33+'2021'!D36+'2021'!D50+'2021'!D83+'2021'!D88+'2021'!D113+'2021'!D119+Table1367891011124[[#This Row],[Achieved Result]]</f>
        <v>112710</v>
      </c>
      <c r="E121" s="164" t="s">
        <v>236</v>
      </c>
      <c r="F121" s="131">
        <v>0</v>
      </c>
      <c r="G121" s="132">
        <f t="shared" si="2"/>
        <v>112710</v>
      </c>
    </row>
    <row r="122" spans="1:7" ht="30">
      <c r="A122" s="145" t="s">
        <v>297</v>
      </c>
      <c r="B122" s="111" t="s">
        <v>280</v>
      </c>
      <c r="C122" s="116" t="s">
        <v>298</v>
      </c>
      <c r="D122" s="167">
        <v>1</v>
      </c>
      <c r="E122" s="164" t="s">
        <v>236</v>
      </c>
      <c r="F122" s="131">
        <v>0</v>
      </c>
      <c r="G122" s="132">
        <f t="shared" si="2"/>
        <v>1</v>
      </c>
    </row>
    <row r="123" spans="1:7">
      <c r="A123" s="145" t="s">
        <v>299</v>
      </c>
      <c r="B123" s="111" t="s">
        <v>280</v>
      </c>
      <c r="C123" s="116" t="s">
        <v>300</v>
      </c>
      <c r="D123" s="167">
        <f>2+'2021'!D84</f>
        <v>4</v>
      </c>
      <c r="E123" s="164" t="s">
        <v>236</v>
      </c>
      <c r="F123" s="131">
        <v>0</v>
      </c>
      <c r="G123" s="132">
        <f t="shared" si="2"/>
        <v>4</v>
      </c>
    </row>
    <row r="124" spans="1:7">
      <c r="A124" s="128" t="s">
        <v>393</v>
      </c>
      <c r="B124" s="142"/>
      <c r="C124" s="143"/>
      <c r="D124" s="129"/>
      <c r="E124" s="164"/>
      <c r="F124" s="131"/>
      <c r="G124" s="132"/>
    </row>
    <row r="125" spans="1:7">
      <c r="A125" s="145">
        <v>5.0999999999999996</v>
      </c>
      <c r="B125" s="111" t="s">
        <v>277</v>
      </c>
      <c r="C125" s="116" t="s">
        <v>343</v>
      </c>
      <c r="D125" s="167">
        <f>14492470+'2021'!D59+'2021'!D73+'2021'!D96</f>
        <v>73151300</v>
      </c>
      <c r="E125" s="167">
        <v>415000</v>
      </c>
      <c r="F125" s="131">
        <v>0</v>
      </c>
      <c r="G125" s="132">
        <f t="shared" si="2"/>
        <v>73566300</v>
      </c>
    </row>
    <row r="126" spans="1:7">
      <c r="A126" s="145" t="s">
        <v>315</v>
      </c>
      <c r="B126" s="111" t="s">
        <v>280</v>
      </c>
      <c r="C126" s="116" t="s">
        <v>316</v>
      </c>
      <c r="D126" s="167">
        <f>1+'2021'!D61+'2021'!D75+'2021'!D102</f>
        <v>49</v>
      </c>
      <c r="E126" s="164" t="s">
        <v>236</v>
      </c>
      <c r="F126" s="131">
        <v>0</v>
      </c>
      <c r="G126" s="132">
        <f t="shared" si="2"/>
        <v>49</v>
      </c>
    </row>
    <row r="127" spans="1:7">
      <c r="A127" s="145" t="s">
        <v>408</v>
      </c>
      <c r="B127" s="111" t="s">
        <v>280</v>
      </c>
      <c r="C127" s="116" t="s">
        <v>409</v>
      </c>
      <c r="D127" s="167">
        <v>460</v>
      </c>
      <c r="E127" s="164" t="s">
        <v>236</v>
      </c>
      <c r="F127" s="131">
        <v>0</v>
      </c>
      <c r="G127" s="132">
        <f t="shared" si="2"/>
        <v>460</v>
      </c>
    </row>
    <row r="128" spans="1:7">
      <c r="A128" s="145" t="s">
        <v>426</v>
      </c>
      <c r="B128" s="111" t="s">
        <v>280</v>
      </c>
      <c r="C128" s="116" t="s">
        <v>427</v>
      </c>
      <c r="D128" s="164" t="s">
        <v>236</v>
      </c>
      <c r="E128" s="167">
        <v>215</v>
      </c>
      <c r="F128" s="131">
        <v>0</v>
      </c>
      <c r="G128" s="132">
        <f t="shared" si="2"/>
        <v>215</v>
      </c>
    </row>
    <row r="129" spans="1:7">
      <c r="A129" s="128" t="s">
        <v>394</v>
      </c>
      <c r="B129" s="142"/>
      <c r="C129" s="143"/>
      <c r="D129" s="133"/>
      <c r="E129" s="133"/>
      <c r="F129" s="131"/>
      <c r="G129" s="132"/>
    </row>
    <row r="130" spans="1:7">
      <c r="A130" s="145">
        <v>6.1</v>
      </c>
      <c r="B130" s="111" t="s">
        <v>277</v>
      </c>
      <c r="C130" s="116" t="s">
        <v>334</v>
      </c>
      <c r="D130" s="167">
        <f>1+'2021'!D68</f>
        <v>401</v>
      </c>
      <c r="E130" s="133" t="s">
        <v>236</v>
      </c>
      <c r="F130" s="131">
        <v>0</v>
      </c>
      <c r="G130" s="132">
        <f t="shared" si="2"/>
        <v>401</v>
      </c>
    </row>
    <row r="131" spans="1:7">
      <c r="A131" s="145">
        <v>6.2</v>
      </c>
      <c r="B131" s="111" t="s">
        <v>277</v>
      </c>
      <c r="C131" s="116" t="s">
        <v>303</v>
      </c>
      <c r="D131" s="167">
        <f>1+'2021'!D20+'2021'!D30+'2021'!D97</f>
        <v>15</v>
      </c>
      <c r="E131" s="131">
        <v>1</v>
      </c>
      <c r="F131" s="131">
        <v>0</v>
      </c>
      <c r="G131" s="132">
        <f t="shared" si="2"/>
        <v>16</v>
      </c>
    </row>
    <row r="132" spans="1:7" ht="30">
      <c r="A132" s="145" t="s">
        <v>310</v>
      </c>
      <c r="B132" s="111" t="s">
        <v>280</v>
      </c>
      <c r="C132" s="116" t="s">
        <v>311</v>
      </c>
      <c r="D132" s="167">
        <f>4383+'2021'!D34+'2021'!D43+'2021'!D85+'2021'!D106</f>
        <v>5426</v>
      </c>
      <c r="E132" s="131" t="s">
        <v>236</v>
      </c>
      <c r="F132" s="168">
        <f>122+'2021'!D172</f>
        <v>522</v>
      </c>
      <c r="G132" s="132">
        <f t="shared" si="2"/>
        <v>5948</v>
      </c>
    </row>
    <row r="133" spans="1:7" ht="30">
      <c r="A133" s="145" t="s">
        <v>377</v>
      </c>
      <c r="B133" s="111" t="s">
        <v>280</v>
      </c>
      <c r="C133" s="116" t="s">
        <v>378</v>
      </c>
      <c r="D133" s="167">
        <f>1+'2021'!D85</f>
        <v>463</v>
      </c>
      <c r="E133" s="131" t="s">
        <v>236</v>
      </c>
      <c r="F133" s="168">
        <v>1</v>
      </c>
      <c r="G133" s="132">
        <f t="shared" si="2"/>
        <v>464</v>
      </c>
    </row>
    <row r="134" spans="1:7" ht="30">
      <c r="A134" s="145" t="s">
        <v>360</v>
      </c>
      <c r="B134" s="111" t="s">
        <v>280</v>
      </c>
      <c r="C134" s="116" t="s">
        <v>361</v>
      </c>
      <c r="D134" s="167">
        <v>1</v>
      </c>
      <c r="E134" s="131" t="s">
        <v>236</v>
      </c>
      <c r="F134" s="131">
        <v>0</v>
      </c>
      <c r="G134" s="132">
        <f t="shared" si="2"/>
        <v>1</v>
      </c>
    </row>
    <row r="135" spans="1:7" ht="30">
      <c r="A135" s="145" t="s">
        <v>288</v>
      </c>
      <c r="B135" s="111" t="s">
        <v>280</v>
      </c>
      <c r="C135" s="116" t="s">
        <v>289</v>
      </c>
      <c r="D135" s="167">
        <f>1+'2021'!D62+'2021'!D86+'2021'!D90</f>
        <v>8</v>
      </c>
      <c r="E135" s="131" t="s">
        <v>236</v>
      </c>
      <c r="F135" s="131">
        <v>0</v>
      </c>
      <c r="G135" s="132">
        <f t="shared" si="2"/>
        <v>8</v>
      </c>
    </row>
    <row r="136" spans="1:7" ht="30">
      <c r="A136" s="145" t="s">
        <v>362</v>
      </c>
      <c r="B136" s="111" t="s">
        <v>280</v>
      </c>
      <c r="C136" s="116" t="s">
        <v>363</v>
      </c>
      <c r="D136" s="167">
        <f>1+'2021'!D76+'2021'!D91</f>
        <v>4</v>
      </c>
      <c r="E136" s="131" t="s">
        <v>236</v>
      </c>
      <c r="F136" s="131">
        <v>0</v>
      </c>
      <c r="G136" s="132">
        <f t="shared" si="2"/>
        <v>4</v>
      </c>
    </row>
    <row r="137" spans="1:7">
      <c r="A137" s="146" t="s">
        <v>370</v>
      </c>
      <c r="B137" s="147" t="s">
        <v>280</v>
      </c>
      <c r="C137" s="148" t="s">
        <v>371</v>
      </c>
      <c r="D137" s="169">
        <f>3+'2021'!D44+'2021'!D63</f>
        <v>5</v>
      </c>
      <c r="E137" s="134" t="s">
        <v>236</v>
      </c>
      <c r="F137" s="134">
        <v>0</v>
      </c>
      <c r="G137" s="135">
        <f t="shared" si="2"/>
        <v>5</v>
      </c>
    </row>
    <row r="139" spans="1:7">
      <c r="A139" s="158">
        <v>2022</v>
      </c>
      <c r="B139" s="94"/>
      <c r="C139" s="95"/>
      <c r="D139" s="96"/>
    </row>
    <row r="140" spans="1:7">
      <c r="A140" s="124" t="s">
        <v>383</v>
      </c>
      <c r="B140" s="125" t="s">
        <v>272</v>
      </c>
      <c r="C140" s="125" t="s">
        <v>384</v>
      </c>
      <c r="D140" s="165" t="s">
        <v>385</v>
      </c>
      <c r="E140" s="165" t="s">
        <v>386</v>
      </c>
      <c r="F140" s="165" t="s">
        <v>387</v>
      </c>
      <c r="G140" s="166" t="s">
        <v>388</v>
      </c>
    </row>
    <row r="141" spans="1:7">
      <c r="A141" s="128" t="s">
        <v>389</v>
      </c>
      <c r="B141" s="142"/>
      <c r="C141" s="143"/>
      <c r="D141" s="129"/>
      <c r="E141" s="170"/>
      <c r="F141" s="170"/>
      <c r="G141" s="132"/>
    </row>
    <row r="142" spans="1:7">
      <c r="A142" s="145">
        <v>1.1000000000000001</v>
      </c>
      <c r="B142" s="111" t="s">
        <v>277</v>
      </c>
      <c r="C142" s="116" t="s">
        <v>471</v>
      </c>
      <c r="D142" s="167">
        <f>206000000+1222546</f>
        <v>207222546</v>
      </c>
      <c r="E142" s="167">
        <v>0</v>
      </c>
      <c r="F142" s="131">
        <v>0</v>
      </c>
      <c r="G142" s="132">
        <f t="shared" ref="G142:G186" si="3">SUM(D142:F142)</f>
        <v>207222546</v>
      </c>
    </row>
    <row r="143" spans="1:7">
      <c r="A143" s="145">
        <v>1.2</v>
      </c>
      <c r="B143" s="111" t="s">
        <v>277</v>
      </c>
      <c r="C143" s="116" t="s">
        <v>318</v>
      </c>
      <c r="D143" s="167">
        <f>7551944.44444444+144+1017.51025438969+410745+2704.91803278689</f>
        <v>7966555.8727316167</v>
      </c>
      <c r="E143" s="164">
        <f>5749+158+1674+3962</f>
        <v>11543</v>
      </c>
      <c r="F143" s="131">
        <v>0</v>
      </c>
      <c r="G143" s="132">
        <f t="shared" si="3"/>
        <v>7978098.8727316167</v>
      </c>
    </row>
    <row r="144" spans="1:7">
      <c r="A144" s="145">
        <v>1.3</v>
      </c>
      <c r="B144" s="111" t="s">
        <v>277</v>
      </c>
      <c r="C144" s="116" t="s">
        <v>291</v>
      </c>
      <c r="D144" s="167">
        <f>225600+1097225</f>
        <v>1322825</v>
      </c>
      <c r="E144" s="164">
        <v>0</v>
      </c>
      <c r="F144" s="131">
        <v>0</v>
      </c>
      <c r="G144" s="132">
        <f t="shared" si="3"/>
        <v>1322825</v>
      </c>
    </row>
    <row r="145" spans="1:7">
      <c r="A145" s="145" t="s">
        <v>320</v>
      </c>
      <c r="B145" s="111" t="s">
        <v>280</v>
      </c>
      <c r="C145" s="116" t="s">
        <v>321</v>
      </c>
      <c r="D145" s="167">
        <f>794569+13241+32+1093+788+19027</f>
        <v>828750</v>
      </c>
      <c r="E145" s="164">
        <v>252</v>
      </c>
      <c r="F145" s="131">
        <v>0</v>
      </c>
      <c r="G145" s="132">
        <f t="shared" si="3"/>
        <v>829002</v>
      </c>
    </row>
    <row r="146" spans="1:7">
      <c r="A146" s="145" t="s">
        <v>373</v>
      </c>
      <c r="B146" s="111" t="s">
        <v>280</v>
      </c>
      <c r="C146" s="116" t="s">
        <v>374</v>
      </c>
      <c r="D146" s="167">
        <f>3+1</f>
        <v>4</v>
      </c>
      <c r="E146" s="164">
        <v>0</v>
      </c>
      <c r="F146" s="131">
        <v>0</v>
      </c>
      <c r="G146" s="132">
        <f t="shared" si="3"/>
        <v>4</v>
      </c>
    </row>
    <row r="147" spans="1:7">
      <c r="A147" s="145" t="s">
        <v>375</v>
      </c>
      <c r="B147" s="111" t="s">
        <v>280</v>
      </c>
      <c r="C147" s="116" t="s">
        <v>376</v>
      </c>
      <c r="D147" s="167">
        <v>8</v>
      </c>
      <c r="E147" s="167">
        <v>0</v>
      </c>
      <c r="F147" s="131">
        <v>0</v>
      </c>
      <c r="G147" s="132">
        <f t="shared" si="3"/>
        <v>8</v>
      </c>
    </row>
    <row r="148" spans="1:7">
      <c r="A148" s="145" t="s">
        <v>491</v>
      </c>
      <c r="B148" s="111" t="s">
        <v>280</v>
      </c>
      <c r="C148" s="116" t="s">
        <v>494</v>
      </c>
      <c r="D148" s="167">
        <v>0</v>
      </c>
      <c r="E148" s="167">
        <v>0</v>
      </c>
      <c r="F148" s="167">
        <v>1</v>
      </c>
      <c r="G148" s="132">
        <f t="shared" si="3"/>
        <v>1</v>
      </c>
    </row>
    <row r="149" spans="1:7">
      <c r="A149" s="145" t="s">
        <v>304</v>
      </c>
      <c r="B149" s="111" t="s">
        <v>280</v>
      </c>
      <c r="C149" s="116" t="s">
        <v>305</v>
      </c>
      <c r="D149" s="164">
        <f>2+25+11+4+117+3</f>
        <v>162</v>
      </c>
      <c r="E149" s="167">
        <v>0</v>
      </c>
      <c r="F149" s="131">
        <v>0</v>
      </c>
      <c r="G149" s="132">
        <f t="shared" si="3"/>
        <v>162</v>
      </c>
    </row>
    <row r="150" spans="1:7">
      <c r="A150" s="128" t="s">
        <v>390</v>
      </c>
      <c r="B150" s="142"/>
      <c r="C150" s="143"/>
      <c r="D150" s="133"/>
      <c r="E150" s="167"/>
      <c r="F150" s="131"/>
      <c r="G150" s="132"/>
    </row>
    <row r="151" spans="1:7">
      <c r="A151" s="145">
        <v>2.1</v>
      </c>
      <c r="B151" s="111" t="s">
        <v>277</v>
      </c>
      <c r="C151" s="116" t="s">
        <v>365</v>
      </c>
      <c r="D151" s="163">
        <f>20+319.969287345174+149546+59652</f>
        <v>209537.96928734519</v>
      </c>
      <c r="E151" s="167">
        <f>10.34+40+130</f>
        <v>180.34</v>
      </c>
      <c r="F151" s="131">
        <v>0</v>
      </c>
      <c r="G151" s="132">
        <f t="shared" si="3"/>
        <v>209718.30928734518</v>
      </c>
    </row>
    <row r="152" spans="1:7">
      <c r="A152" s="145">
        <v>2.2000000000000002</v>
      </c>
      <c r="B152" s="111" t="s">
        <v>277</v>
      </c>
      <c r="C152" s="116" t="s">
        <v>342</v>
      </c>
      <c r="D152" s="164">
        <f>38067+963</f>
        <v>39030</v>
      </c>
      <c r="E152" s="167">
        <v>0</v>
      </c>
      <c r="F152" s="131">
        <v>0</v>
      </c>
      <c r="G152" s="132">
        <f t="shared" si="3"/>
        <v>39030</v>
      </c>
    </row>
    <row r="153" spans="1:7">
      <c r="A153" s="145">
        <v>2.2999999999999998</v>
      </c>
      <c r="B153" s="111" t="s">
        <v>277</v>
      </c>
      <c r="C153" s="116" t="s">
        <v>366</v>
      </c>
      <c r="D153" s="167">
        <f>80+1281</f>
        <v>1361</v>
      </c>
      <c r="E153" s="164">
        <v>2</v>
      </c>
      <c r="F153" s="131">
        <v>0</v>
      </c>
      <c r="G153" s="132">
        <f t="shared" si="3"/>
        <v>1363</v>
      </c>
    </row>
    <row r="154" spans="1:7">
      <c r="A154" s="145">
        <v>2.4</v>
      </c>
      <c r="B154" s="111" t="s">
        <v>277</v>
      </c>
      <c r="C154" s="116" t="s">
        <v>302</v>
      </c>
      <c r="D154" s="167">
        <v>49125.075560187601</v>
      </c>
      <c r="E154" s="164">
        <v>0</v>
      </c>
      <c r="F154" s="131">
        <v>0</v>
      </c>
      <c r="G154" s="132">
        <f t="shared" si="3"/>
        <v>49125.075560187601</v>
      </c>
    </row>
    <row r="155" spans="1:7" ht="30">
      <c r="A155" s="145">
        <v>2.5</v>
      </c>
      <c r="B155" s="111" t="s">
        <v>277</v>
      </c>
      <c r="C155" s="116" t="s">
        <v>367</v>
      </c>
      <c r="D155" s="167">
        <v>0</v>
      </c>
      <c r="E155" s="167">
        <v>24000</v>
      </c>
      <c r="F155" s="131">
        <v>0</v>
      </c>
      <c r="G155" s="132">
        <f t="shared" si="3"/>
        <v>24000</v>
      </c>
    </row>
    <row r="156" spans="1:7">
      <c r="A156" s="145" t="s">
        <v>322</v>
      </c>
      <c r="B156" s="111" t="s">
        <v>280</v>
      </c>
      <c r="C156" s="116" t="s">
        <v>323</v>
      </c>
      <c r="D156" s="163">
        <f>5496+21023+12786+369+10961+47177</f>
        <v>97812</v>
      </c>
      <c r="E156" s="164">
        <f>252+500</f>
        <v>752</v>
      </c>
      <c r="F156" s="131">
        <v>0</v>
      </c>
      <c r="G156" s="132">
        <f t="shared" si="3"/>
        <v>98564</v>
      </c>
    </row>
    <row r="157" spans="1:7">
      <c r="A157" s="145" t="s">
        <v>468</v>
      </c>
      <c r="B157" s="111" t="s">
        <v>280</v>
      </c>
      <c r="C157" s="116" t="s">
        <v>481</v>
      </c>
      <c r="D157" s="163">
        <v>1</v>
      </c>
      <c r="E157" s="164">
        <v>0</v>
      </c>
      <c r="F157" s="131">
        <v>0</v>
      </c>
      <c r="G157" s="132">
        <f t="shared" si="3"/>
        <v>1</v>
      </c>
    </row>
    <row r="158" spans="1:7">
      <c r="A158" s="145" t="s">
        <v>346</v>
      </c>
      <c r="B158" s="111" t="s">
        <v>280</v>
      </c>
      <c r="C158" s="116" t="s">
        <v>347</v>
      </c>
      <c r="D158" s="163">
        <f>1+1</f>
        <v>2</v>
      </c>
      <c r="E158" s="164">
        <v>0</v>
      </c>
      <c r="F158" s="131">
        <v>0</v>
      </c>
      <c r="G158" s="132">
        <f t="shared" si="3"/>
        <v>2</v>
      </c>
    </row>
    <row r="159" spans="1:7">
      <c r="A159" s="145" t="s">
        <v>456</v>
      </c>
      <c r="B159" s="111" t="s">
        <v>280</v>
      </c>
      <c r="C159" s="116" t="s">
        <v>477</v>
      </c>
      <c r="D159" s="163">
        <f>1023+369</f>
        <v>1392</v>
      </c>
      <c r="E159" s="164">
        <v>0</v>
      </c>
      <c r="F159" s="131">
        <v>0</v>
      </c>
      <c r="G159" s="132">
        <f t="shared" si="3"/>
        <v>1392</v>
      </c>
    </row>
    <row r="160" spans="1:7">
      <c r="A160" s="145" t="s">
        <v>279</v>
      </c>
      <c r="B160" s="111" t="s">
        <v>280</v>
      </c>
      <c r="C160" s="116" t="s">
        <v>281</v>
      </c>
      <c r="D160" s="163">
        <v>1</v>
      </c>
      <c r="E160" s="164">
        <v>0</v>
      </c>
      <c r="F160" s="131">
        <v>0</v>
      </c>
      <c r="G160" s="132">
        <f t="shared" si="3"/>
        <v>1</v>
      </c>
    </row>
    <row r="161" spans="1:7" ht="30">
      <c r="A161" s="145" t="s">
        <v>308</v>
      </c>
      <c r="B161" s="111" t="s">
        <v>280</v>
      </c>
      <c r="C161" s="116" t="s">
        <v>309</v>
      </c>
      <c r="D161" s="163">
        <f>2+10+117</f>
        <v>129</v>
      </c>
      <c r="E161" s="164">
        <v>0</v>
      </c>
      <c r="F161" s="131">
        <v>0</v>
      </c>
      <c r="G161" s="132">
        <f t="shared" si="3"/>
        <v>129</v>
      </c>
    </row>
    <row r="162" spans="1:7" ht="30">
      <c r="A162" s="145" t="s">
        <v>486</v>
      </c>
      <c r="B162" s="111" t="s">
        <v>280</v>
      </c>
      <c r="C162" s="116" t="s">
        <v>488</v>
      </c>
      <c r="D162" s="163">
        <v>0</v>
      </c>
      <c r="E162" s="163">
        <v>1</v>
      </c>
      <c r="F162" s="131">
        <v>0</v>
      </c>
      <c r="G162" s="132">
        <f t="shared" si="3"/>
        <v>1</v>
      </c>
    </row>
    <row r="163" spans="1:7">
      <c r="A163" s="145" t="s">
        <v>448</v>
      </c>
      <c r="B163" s="111" t="s">
        <v>280</v>
      </c>
      <c r="C163" s="116" t="s">
        <v>473</v>
      </c>
      <c r="D163" s="163">
        <f>1+1</f>
        <v>2</v>
      </c>
      <c r="E163" s="164">
        <v>0</v>
      </c>
      <c r="F163" s="164">
        <v>0</v>
      </c>
      <c r="G163" s="132">
        <f t="shared" si="3"/>
        <v>2</v>
      </c>
    </row>
    <row r="164" spans="1:7" ht="30">
      <c r="A164" s="145" t="s">
        <v>368</v>
      </c>
      <c r="B164" s="111" t="s">
        <v>280</v>
      </c>
      <c r="C164" s="116" t="s">
        <v>369</v>
      </c>
      <c r="D164" s="162">
        <v>5</v>
      </c>
      <c r="E164" s="163">
        <v>0</v>
      </c>
      <c r="F164" s="131">
        <v>0</v>
      </c>
      <c r="G164" s="132">
        <f t="shared" si="3"/>
        <v>5</v>
      </c>
    </row>
    <row r="165" spans="1:7">
      <c r="A165" s="128" t="s">
        <v>391</v>
      </c>
      <c r="B165" s="142"/>
      <c r="C165" s="143"/>
      <c r="D165" s="129"/>
      <c r="E165" s="167"/>
      <c r="F165" s="131"/>
      <c r="G165" s="132"/>
    </row>
    <row r="166" spans="1:7">
      <c r="A166" s="145">
        <v>3.1</v>
      </c>
      <c r="B166" s="111" t="s">
        <v>277</v>
      </c>
      <c r="C166" s="116" t="s">
        <v>319</v>
      </c>
      <c r="D166" s="164">
        <f>12907+9884+296545+5670000+3053399+2.7+127.9</f>
        <v>9042865.5999999996</v>
      </c>
      <c r="E166" s="167">
        <f>1067168.67617108+537239.2+690000</f>
        <v>2294407.8761710799</v>
      </c>
      <c r="F166" s="131">
        <v>0</v>
      </c>
      <c r="G166" s="132">
        <f t="shared" si="3"/>
        <v>11337273.47617108</v>
      </c>
    </row>
    <row r="167" spans="1:7">
      <c r="A167" s="145">
        <v>3.2</v>
      </c>
      <c r="B167" s="111" t="s">
        <v>277</v>
      </c>
      <c r="C167" s="116" t="s">
        <v>417</v>
      </c>
      <c r="D167" s="164">
        <v>150000</v>
      </c>
      <c r="E167" s="167">
        <v>0</v>
      </c>
      <c r="F167" s="131">
        <v>0</v>
      </c>
      <c r="G167" s="132">
        <f t="shared" si="3"/>
        <v>150000</v>
      </c>
    </row>
    <row r="168" spans="1:7">
      <c r="A168" s="145">
        <v>3.3</v>
      </c>
      <c r="B168" s="111" t="s">
        <v>277</v>
      </c>
      <c r="C168" s="116" t="s">
        <v>292</v>
      </c>
      <c r="D168" s="167">
        <v>559512</v>
      </c>
      <c r="E168" s="164">
        <v>0</v>
      </c>
      <c r="F168" s="131">
        <v>0</v>
      </c>
      <c r="G168" s="132">
        <f t="shared" si="3"/>
        <v>559512</v>
      </c>
    </row>
    <row r="169" spans="1:7">
      <c r="A169" s="145" t="s">
        <v>454</v>
      </c>
      <c r="B169" s="111" t="s">
        <v>280</v>
      </c>
      <c r="C169" s="116" t="s">
        <v>476</v>
      </c>
      <c r="D169" s="167">
        <f>19916296.2962963+9981481.48148147+25312359.5505618+110210000</f>
        <v>165420137.32833958</v>
      </c>
      <c r="E169" s="164">
        <f>77000000+207000000</f>
        <v>284000000</v>
      </c>
      <c r="F169" s="131">
        <v>0</v>
      </c>
      <c r="G169" s="132">
        <f t="shared" si="3"/>
        <v>449420137.32833958</v>
      </c>
    </row>
    <row r="170" spans="1:7" ht="30">
      <c r="A170" s="145" t="s">
        <v>436</v>
      </c>
      <c r="B170" s="111" t="s">
        <v>280</v>
      </c>
      <c r="C170" s="116" t="s">
        <v>437</v>
      </c>
      <c r="D170" s="175">
        <v>11</v>
      </c>
      <c r="E170" s="164">
        <v>0</v>
      </c>
      <c r="F170" s="131">
        <v>0</v>
      </c>
      <c r="G170" s="132">
        <f t="shared" si="3"/>
        <v>11</v>
      </c>
    </row>
    <row r="171" spans="1:7">
      <c r="A171" s="145" t="s">
        <v>326</v>
      </c>
      <c r="B171" s="111" t="s">
        <v>280</v>
      </c>
      <c r="C171" s="116" t="s">
        <v>327</v>
      </c>
      <c r="D171" s="164">
        <f>1+1+1+3</f>
        <v>6</v>
      </c>
      <c r="E171" s="167">
        <f>3+4</f>
        <v>7</v>
      </c>
      <c r="F171" s="131">
        <v>0</v>
      </c>
      <c r="G171" s="132">
        <f t="shared" si="3"/>
        <v>13</v>
      </c>
    </row>
    <row r="172" spans="1:7">
      <c r="A172" s="145" t="s">
        <v>313</v>
      </c>
      <c r="B172" s="111" t="s">
        <v>280</v>
      </c>
      <c r="C172" s="116" t="s">
        <v>314</v>
      </c>
      <c r="D172" s="164">
        <f>20.1+111+7000+23.5</f>
        <v>7154.6</v>
      </c>
      <c r="E172" s="167">
        <f>712+319+354</f>
        <v>1385</v>
      </c>
      <c r="F172" s="131">
        <v>0</v>
      </c>
      <c r="G172" s="132">
        <f t="shared" si="3"/>
        <v>8539.6</v>
      </c>
    </row>
    <row r="173" spans="1:7">
      <c r="A173" s="145" t="s">
        <v>414</v>
      </c>
      <c r="B173" s="111" t="s">
        <v>280</v>
      </c>
      <c r="C173" s="116" t="s">
        <v>415</v>
      </c>
      <c r="D173" s="167">
        <v>1</v>
      </c>
      <c r="E173" s="167">
        <v>0</v>
      </c>
      <c r="F173" s="131">
        <v>0</v>
      </c>
      <c r="G173" s="132">
        <f t="shared" si="3"/>
        <v>1</v>
      </c>
    </row>
    <row r="174" spans="1:7" ht="30">
      <c r="A174" s="145" t="s">
        <v>438</v>
      </c>
      <c r="B174" s="111" t="s">
        <v>280</v>
      </c>
      <c r="C174" s="116" t="s">
        <v>439</v>
      </c>
      <c r="D174" s="167">
        <v>1</v>
      </c>
      <c r="E174" s="167">
        <v>0</v>
      </c>
      <c r="F174" s="131">
        <v>0</v>
      </c>
      <c r="G174" s="132">
        <f t="shared" si="3"/>
        <v>1</v>
      </c>
    </row>
    <row r="175" spans="1:7" ht="30">
      <c r="A175" s="145" t="s">
        <v>440</v>
      </c>
      <c r="B175" s="111" t="s">
        <v>280</v>
      </c>
      <c r="C175" s="116" t="s">
        <v>441</v>
      </c>
      <c r="D175" s="176">
        <v>0</v>
      </c>
      <c r="E175" s="167">
        <v>0</v>
      </c>
      <c r="F175" s="131">
        <v>0</v>
      </c>
      <c r="G175" s="132">
        <f t="shared" si="3"/>
        <v>0</v>
      </c>
    </row>
    <row r="176" spans="1:7">
      <c r="A176" s="145" t="s">
        <v>282</v>
      </c>
      <c r="B176" s="111" t="s">
        <v>280</v>
      </c>
      <c r="C176" s="116" t="s">
        <v>283</v>
      </c>
      <c r="D176" s="176">
        <f>8+11+4+117</f>
        <v>140</v>
      </c>
      <c r="E176" s="167">
        <v>0</v>
      </c>
      <c r="F176" s="131">
        <v>0</v>
      </c>
      <c r="G176" s="132">
        <f t="shared" si="3"/>
        <v>140</v>
      </c>
    </row>
    <row r="177" spans="1:7">
      <c r="A177" s="145" t="s">
        <v>328</v>
      </c>
      <c r="B177" s="111" t="s">
        <v>280</v>
      </c>
      <c r="C177" s="116" t="s">
        <v>329</v>
      </c>
      <c r="D177" s="167">
        <f>12+11</f>
        <v>23</v>
      </c>
      <c r="E177" s="167">
        <v>0</v>
      </c>
      <c r="F177" s="131">
        <v>0</v>
      </c>
      <c r="G177" s="132">
        <f t="shared" si="3"/>
        <v>23</v>
      </c>
    </row>
    <row r="178" spans="1:7">
      <c r="A178" s="145" t="s">
        <v>418</v>
      </c>
      <c r="B178" s="111" t="s">
        <v>280</v>
      </c>
      <c r="C178" s="116" t="s">
        <v>419</v>
      </c>
      <c r="D178" s="167">
        <v>26500</v>
      </c>
      <c r="E178" s="167">
        <v>0</v>
      </c>
      <c r="F178" s="131">
        <v>0</v>
      </c>
      <c r="G178" s="132">
        <f t="shared" si="3"/>
        <v>26500</v>
      </c>
    </row>
    <row r="179" spans="1:7">
      <c r="A179" s="128" t="s">
        <v>392</v>
      </c>
      <c r="B179" s="111"/>
      <c r="C179" s="116"/>
      <c r="D179" s="168"/>
      <c r="E179" s="167"/>
      <c r="F179" s="131"/>
      <c r="G179" s="132"/>
    </row>
    <row r="180" spans="1:7">
      <c r="A180" s="145">
        <v>4.0999999999999996</v>
      </c>
      <c r="B180" s="111" t="s">
        <v>277</v>
      </c>
      <c r="C180" s="116" t="s">
        <v>293</v>
      </c>
      <c r="D180" s="167">
        <f>2082422.4+559512+3361055+1222546</f>
        <v>7225535.4000000004</v>
      </c>
      <c r="E180" s="167">
        <v>0</v>
      </c>
      <c r="F180" s="131">
        <v>0</v>
      </c>
      <c r="G180" s="132">
        <f t="shared" si="3"/>
        <v>7225535.4000000004</v>
      </c>
    </row>
    <row r="181" spans="1:7">
      <c r="A181" s="145">
        <v>4.2</v>
      </c>
      <c r="B181" s="111" t="s">
        <v>277</v>
      </c>
      <c r="C181" s="116" t="s">
        <v>278</v>
      </c>
      <c r="D181" s="167">
        <v>0</v>
      </c>
      <c r="E181" s="167">
        <v>0</v>
      </c>
      <c r="F181" s="131">
        <v>7</v>
      </c>
      <c r="G181" s="132">
        <f t="shared" si="3"/>
        <v>7</v>
      </c>
    </row>
    <row r="182" spans="1:7">
      <c r="A182" s="145" t="s">
        <v>286</v>
      </c>
      <c r="B182" s="111" t="s">
        <v>280</v>
      </c>
      <c r="C182" s="116" t="s">
        <v>287</v>
      </c>
      <c r="D182" s="167">
        <f>8+20</f>
        <v>28</v>
      </c>
      <c r="E182" s="167">
        <v>0</v>
      </c>
      <c r="F182" s="131">
        <v>0</v>
      </c>
      <c r="G182" s="132">
        <f t="shared" si="3"/>
        <v>28</v>
      </c>
    </row>
    <row r="183" spans="1:7">
      <c r="A183" s="145" t="s">
        <v>295</v>
      </c>
      <c r="B183" s="111" t="s">
        <v>280</v>
      </c>
      <c r="C183" s="116" t="s">
        <v>296</v>
      </c>
      <c r="D183" s="167">
        <f>12+11+4867</f>
        <v>4890</v>
      </c>
      <c r="E183" s="167">
        <v>0</v>
      </c>
      <c r="F183" s="131">
        <v>0</v>
      </c>
      <c r="G183" s="132">
        <f t="shared" si="3"/>
        <v>4890</v>
      </c>
    </row>
    <row r="184" spans="1:7">
      <c r="A184" s="145" t="s">
        <v>460</v>
      </c>
      <c r="B184" s="111" t="s">
        <v>280</v>
      </c>
      <c r="C184" s="116" t="s">
        <v>478</v>
      </c>
      <c r="D184" s="167">
        <v>4</v>
      </c>
      <c r="E184" s="167">
        <v>0</v>
      </c>
      <c r="F184" s="131">
        <v>0</v>
      </c>
      <c r="G184" s="132">
        <f t="shared" si="3"/>
        <v>4</v>
      </c>
    </row>
    <row r="185" spans="1:7">
      <c r="A185" s="128" t="s">
        <v>393</v>
      </c>
      <c r="B185" s="142"/>
      <c r="C185" s="143"/>
      <c r="D185" s="129"/>
      <c r="E185" s="167"/>
      <c r="F185" s="131"/>
      <c r="G185" s="132"/>
    </row>
    <row r="186" spans="1:7">
      <c r="A186" s="145">
        <v>5.0999999999999996</v>
      </c>
      <c r="B186" s="111" t="s">
        <v>277</v>
      </c>
      <c r="C186" s="116" t="s">
        <v>343</v>
      </c>
      <c r="D186" s="167">
        <f>2082422.4+9000000+150000+13852.8+8300000</f>
        <v>19546275.200000003</v>
      </c>
      <c r="E186" s="167">
        <v>0</v>
      </c>
      <c r="F186" s="131">
        <v>0</v>
      </c>
      <c r="G186" s="132">
        <f t="shared" si="3"/>
        <v>19546275.200000003</v>
      </c>
    </row>
    <row r="187" spans="1:7">
      <c r="A187" s="145">
        <v>5.3</v>
      </c>
      <c r="B187" s="111" t="s">
        <v>277</v>
      </c>
      <c r="C187" s="116" t="s">
        <v>479</v>
      </c>
      <c r="D187" s="167">
        <v>27146</v>
      </c>
      <c r="E187" s="167">
        <v>0</v>
      </c>
      <c r="F187" s="131">
        <v>0</v>
      </c>
      <c r="G187" s="132">
        <f t="shared" ref="G187:G201" si="4">SUM(D187:F187)</f>
        <v>27146</v>
      </c>
    </row>
    <row r="188" spans="1:7">
      <c r="A188" s="145" t="s">
        <v>315</v>
      </c>
      <c r="B188" s="111" t="s">
        <v>280</v>
      </c>
      <c r="C188" s="116" t="s">
        <v>316</v>
      </c>
      <c r="D188" s="167">
        <f>2+1+3+64+11+10+4</f>
        <v>95</v>
      </c>
      <c r="E188" s="167">
        <v>0</v>
      </c>
      <c r="F188" s="131">
        <v>0</v>
      </c>
      <c r="G188" s="132">
        <f t="shared" si="4"/>
        <v>95</v>
      </c>
    </row>
    <row r="189" spans="1:7">
      <c r="A189" s="145" t="s">
        <v>462</v>
      </c>
      <c r="B189" s="111" t="s">
        <v>280</v>
      </c>
      <c r="C189" s="116" t="s">
        <v>480</v>
      </c>
      <c r="D189" s="167">
        <v>108091</v>
      </c>
      <c r="E189" s="167">
        <v>0</v>
      </c>
      <c r="F189" s="131">
        <v>0</v>
      </c>
      <c r="G189" s="132">
        <f t="shared" si="4"/>
        <v>108091</v>
      </c>
    </row>
    <row r="190" spans="1:7">
      <c r="A190" s="128" t="s">
        <v>394</v>
      </c>
      <c r="B190" s="142"/>
      <c r="C190" s="143"/>
      <c r="D190" s="133"/>
      <c r="E190" s="167"/>
      <c r="F190" s="131"/>
      <c r="G190" s="132"/>
    </row>
    <row r="191" spans="1:7" s="172" customFormat="1">
      <c r="A191" s="145">
        <v>6.1</v>
      </c>
      <c r="B191" s="111" t="s">
        <v>277</v>
      </c>
      <c r="C191" s="116" t="s">
        <v>334</v>
      </c>
      <c r="D191" s="167">
        <f>1+135</f>
        <v>136</v>
      </c>
      <c r="E191" s="131">
        <v>1</v>
      </c>
      <c r="F191" s="131">
        <v>0</v>
      </c>
      <c r="G191" s="132">
        <f t="shared" si="4"/>
        <v>137</v>
      </c>
    </row>
    <row r="192" spans="1:7">
      <c r="A192" s="145">
        <v>6.2</v>
      </c>
      <c r="B192" s="111" t="s">
        <v>277</v>
      </c>
      <c r="C192" s="116" t="s">
        <v>303</v>
      </c>
      <c r="D192" s="167">
        <f>3+8+1+3+6+8+1+1+118+20</f>
        <v>169</v>
      </c>
      <c r="E192" s="131">
        <v>0</v>
      </c>
      <c r="F192" s="131">
        <v>0</v>
      </c>
      <c r="G192" s="132">
        <f t="shared" si="4"/>
        <v>169</v>
      </c>
    </row>
    <row r="193" spans="1:7" ht="30">
      <c r="A193" s="145" t="s">
        <v>310</v>
      </c>
      <c r="B193" s="111" t="s">
        <v>280</v>
      </c>
      <c r="C193" s="116" t="s">
        <v>311</v>
      </c>
      <c r="D193" s="167">
        <f>794569+11+996+352+3775+20+12553+40+4417</f>
        <v>816733</v>
      </c>
      <c r="E193" s="131">
        <v>0</v>
      </c>
      <c r="F193" s="168">
        <v>7150</v>
      </c>
      <c r="G193" s="132">
        <f t="shared" si="4"/>
        <v>823883</v>
      </c>
    </row>
    <row r="194" spans="1:7" ht="30">
      <c r="A194" s="145" t="s">
        <v>377</v>
      </c>
      <c r="B194" s="111" t="s">
        <v>280</v>
      </c>
      <c r="C194" s="116" t="s">
        <v>378</v>
      </c>
      <c r="D194" s="167">
        <f>1+1</f>
        <v>2</v>
      </c>
      <c r="E194" s="131">
        <v>0</v>
      </c>
      <c r="F194" s="168">
        <v>1</v>
      </c>
      <c r="G194" s="132">
        <f t="shared" si="4"/>
        <v>3</v>
      </c>
    </row>
    <row r="195" spans="1:7" ht="30">
      <c r="A195" s="145" t="s">
        <v>449</v>
      </c>
      <c r="B195" s="111" t="s">
        <v>280</v>
      </c>
      <c r="C195" s="116" t="s">
        <v>474</v>
      </c>
      <c r="D195" s="167">
        <v>4</v>
      </c>
      <c r="E195" s="131">
        <v>0</v>
      </c>
      <c r="F195" s="168"/>
      <c r="G195" s="132">
        <f t="shared" si="4"/>
        <v>4</v>
      </c>
    </row>
    <row r="196" spans="1:7" ht="30">
      <c r="A196" s="145" t="s">
        <v>288</v>
      </c>
      <c r="B196" s="111" t="s">
        <v>280</v>
      </c>
      <c r="C196" s="116" t="s">
        <v>289</v>
      </c>
      <c r="D196" s="167">
        <v>0</v>
      </c>
      <c r="E196" s="131">
        <v>0</v>
      </c>
      <c r="F196" s="167">
        <v>2</v>
      </c>
      <c r="G196" s="132">
        <f t="shared" si="4"/>
        <v>2</v>
      </c>
    </row>
    <row r="197" spans="1:7">
      <c r="A197" s="145" t="s">
        <v>451</v>
      </c>
      <c r="B197" s="111" t="s">
        <v>280</v>
      </c>
      <c r="C197" s="116" t="s">
        <v>475</v>
      </c>
      <c r="D197" s="167">
        <v>1</v>
      </c>
      <c r="E197" s="131">
        <v>0</v>
      </c>
      <c r="F197" s="131">
        <v>3</v>
      </c>
      <c r="G197" s="132">
        <f t="shared" si="4"/>
        <v>4</v>
      </c>
    </row>
    <row r="198" spans="1:7">
      <c r="A198" s="145" t="s">
        <v>370</v>
      </c>
      <c r="B198" s="111" t="s">
        <v>280</v>
      </c>
      <c r="C198" s="116" t="s">
        <v>371</v>
      </c>
      <c r="D198" s="167">
        <f>1+1</f>
        <v>2</v>
      </c>
      <c r="E198" s="131">
        <v>0</v>
      </c>
      <c r="F198" s="131">
        <v>0</v>
      </c>
      <c r="G198" s="132">
        <f t="shared" si="4"/>
        <v>2</v>
      </c>
    </row>
    <row r="199" spans="1:7">
      <c r="A199" s="174" t="s">
        <v>496</v>
      </c>
      <c r="B199" s="111"/>
      <c r="C199" s="116"/>
      <c r="D199" s="167"/>
      <c r="E199" s="131"/>
      <c r="F199" s="131"/>
      <c r="G199" s="132"/>
    </row>
    <row r="200" spans="1:7" ht="30">
      <c r="A200" s="145">
        <v>7.3</v>
      </c>
      <c r="B200" s="111" t="s">
        <v>277</v>
      </c>
      <c r="C200" s="116" t="s">
        <v>472</v>
      </c>
      <c r="D200" s="167">
        <v>1</v>
      </c>
      <c r="E200" s="131">
        <v>0</v>
      </c>
      <c r="F200" s="131">
        <v>0</v>
      </c>
      <c r="G200" s="132">
        <f t="shared" si="4"/>
        <v>1</v>
      </c>
    </row>
    <row r="201" spans="1:7" ht="30">
      <c r="A201" s="146" t="s">
        <v>492</v>
      </c>
      <c r="B201" s="147" t="s">
        <v>280</v>
      </c>
      <c r="C201" s="148" t="s">
        <v>495</v>
      </c>
      <c r="D201" s="169">
        <v>0</v>
      </c>
      <c r="E201" s="169">
        <v>0</v>
      </c>
      <c r="F201" s="169">
        <v>0</v>
      </c>
      <c r="G201" s="135">
        <f t="shared" si="4"/>
        <v>0</v>
      </c>
    </row>
    <row r="202" spans="1:7">
      <c r="A202" s="94"/>
      <c r="B202" s="94"/>
      <c r="C202" s="94"/>
      <c r="D202" s="177"/>
      <c r="E202" s="94"/>
      <c r="F202" s="94"/>
      <c r="G202" s="94"/>
    </row>
    <row r="203" spans="1:7">
      <c r="A203" s="158">
        <v>2023</v>
      </c>
      <c r="B203" s="94"/>
      <c r="C203" s="95"/>
      <c r="D203" s="96"/>
    </row>
    <row r="204" spans="1:7">
      <c r="A204" s="124" t="s">
        <v>383</v>
      </c>
      <c r="B204" s="125" t="s">
        <v>272</v>
      </c>
      <c r="C204" s="125" t="s">
        <v>384</v>
      </c>
      <c r="D204" s="165" t="s">
        <v>385</v>
      </c>
      <c r="E204" s="165" t="s">
        <v>386</v>
      </c>
      <c r="F204" s="165" t="s">
        <v>387</v>
      </c>
      <c r="G204" s="166" t="s">
        <v>388</v>
      </c>
    </row>
    <row r="205" spans="1:7">
      <c r="A205" s="128" t="s">
        <v>389</v>
      </c>
      <c r="B205" s="94"/>
      <c r="C205" s="94"/>
      <c r="D205" s="192"/>
      <c r="E205" s="192"/>
      <c r="F205" s="192"/>
      <c r="G205" s="132"/>
    </row>
    <row r="206" spans="1:7">
      <c r="A206" s="193">
        <v>1.1000000000000001</v>
      </c>
      <c r="B206" s="111" t="str">
        <f>VLOOKUP(A206,'[16]2A OP indicators List_23Aug2020'!$F:$H,2,FALSE)</f>
        <v>RFI</v>
      </c>
      <c r="C206" s="111" t="str">
        <f>VLOOKUP(A206,'[16]2A OP indicators List_23Aug2020'!$F:$H,3,FALSE)</f>
        <v>People benefiting from improved health services, education services, or social protection (number)</v>
      </c>
      <c r="D206" s="195">
        <v>232728</v>
      </c>
      <c r="E206" s="195">
        <v>21918</v>
      </c>
      <c r="F206" s="195"/>
      <c r="G206" s="132">
        <f t="shared" ref="G206:G260" si="5">SUM(D206:F206)</f>
        <v>254646</v>
      </c>
    </row>
    <row r="207" spans="1:7">
      <c r="A207" s="193">
        <v>1.2</v>
      </c>
      <c r="B207" s="111" t="str">
        <f>VLOOKUP(A207,'[16]2A OP indicators List_23Aug2020'!$F:$H,2,FALSE)</f>
        <v>RFI</v>
      </c>
      <c r="C207" s="111" t="str">
        <f>VLOOKUP(A207,'[16]2A OP indicators List_23Aug2020'!$F:$H,3,FALSE)</f>
        <v>Jobs generated (number)</v>
      </c>
      <c r="D207" s="195">
        <v>18488.909090909092</v>
      </c>
      <c r="E207" s="195">
        <v>5795</v>
      </c>
      <c r="F207" s="195"/>
      <c r="G207" s="132">
        <f t="shared" si="5"/>
        <v>24283.909090909092</v>
      </c>
    </row>
    <row r="208" spans="1:7">
      <c r="A208" s="193">
        <v>1.3</v>
      </c>
      <c r="B208" s="111" t="str">
        <f>VLOOKUP(A208,'[16]2A OP indicators List_23Aug2020'!$F:$H,2,FALSE)</f>
        <v>RFI</v>
      </c>
      <c r="C208" s="111" t="str">
        <f>VLOOKUP(A208,'[16]2A OP indicators List_23Aug2020'!$F:$H,3,FALSE)</f>
        <v>Poor and vulnerable people with improved standards of living (number)</v>
      </c>
      <c r="D208" s="195">
        <v>89221225.060000002</v>
      </c>
      <c r="E208" s="195"/>
      <c r="F208" s="195"/>
      <c r="G208" s="132">
        <f t="shared" si="5"/>
        <v>89221225.060000002</v>
      </c>
    </row>
    <row r="209" spans="1:7">
      <c r="A209" s="193" t="s">
        <v>373</v>
      </c>
      <c r="B209" s="111" t="str">
        <f>VLOOKUP(A209,'[16]2A OP indicators List_23Aug2020'!$F:$H,2,FALSE)</f>
        <v>TI</v>
      </c>
      <c r="C209" s="111" t="str">
        <f>VLOOKUP(A209,'[16]2A OP indicators List_23Aug2020'!$F:$H,3,FALSE)</f>
        <v>Health services established or improved (number) </v>
      </c>
      <c r="D209" s="195"/>
      <c r="E209" s="195">
        <v>4</v>
      </c>
      <c r="F209" s="195"/>
      <c r="G209" s="132">
        <f t="shared" si="5"/>
        <v>4</v>
      </c>
    </row>
    <row r="210" spans="1:7">
      <c r="A210" s="193" t="s">
        <v>304</v>
      </c>
      <c r="B210" s="111" t="str">
        <f>VLOOKUP(A210,'[16]2A OP indicators List_23Aug2020'!$F:$H,2,FALSE)</f>
        <v>TI</v>
      </c>
      <c r="C210" s="111" t="str">
        <f>VLOOKUP(A210,'[16]2A OP indicators List_23Aug2020'!$F:$H,3,FALSE)</f>
        <v>Infrastructure assets established or improved (number)</v>
      </c>
      <c r="D210" s="195">
        <v>52</v>
      </c>
      <c r="E210" s="195"/>
      <c r="F210" s="195"/>
      <c r="G210" s="132">
        <f t="shared" si="5"/>
        <v>52</v>
      </c>
    </row>
    <row r="211" spans="1:7">
      <c r="A211" s="193" t="s">
        <v>335</v>
      </c>
      <c r="B211" s="111" t="str">
        <f>VLOOKUP(A211,'[16]2A OP indicators List_23Aug2020'!$F:$H,2,FALSE)</f>
        <v>TI</v>
      </c>
      <c r="C211" s="111" t="str">
        <f>VLOOKUP(A211,'[16]2A OP indicators List_23Aug2020'!$F:$H,3,FALSE)</f>
        <v>New financial products and services made available to the poor and vulnerable (number) </v>
      </c>
      <c r="D211" s="195"/>
      <c r="E211" s="195">
        <v>7</v>
      </c>
      <c r="F211" s="195"/>
      <c r="G211" s="132">
        <f t="shared" si="5"/>
        <v>7</v>
      </c>
    </row>
    <row r="212" spans="1:7">
      <c r="A212" s="128" t="s">
        <v>390</v>
      </c>
      <c r="B212" s="111"/>
      <c r="C212" s="111"/>
      <c r="D212" s="196"/>
      <c r="E212" s="196"/>
      <c r="F212" s="196"/>
      <c r="G212" s="132"/>
    </row>
    <row r="213" spans="1:7">
      <c r="A213" s="193">
        <v>2.2000000000000002</v>
      </c>
      <c r="B213" s="111" t="str">
        <f>VLOOKUP(A213,'[16]2A OP indicators List_23Aug2020'!$F:$H,2,FALSE)</f>
        <v>RFI</v>
      </c>
      <c r="C213" s="111" t="str">
        <f>VLOOKUP(A213,'[16]2A OP indicators List_23Aug2020'!$F:$H,3,FALSE)</f>
        <v>Women and girls completing secondary and tertiary education, and/or other training (number)</v>
      </c>
      <c r="D213" s="195">
        <v>138171</v>
      </c>
      <c r="E213" s="195"/>
      <c r="F213" s="195"/>
      <c r="G213" s="132">
        <f t="shared" si="5"/>
        <v>138171</v>
      </c>
    </row>
    <row r="214" spans="1:7">
      <c r="A214" s="193">
        <v>2.2999999999999998</v>
      </c>
      <c r="B214" s="111" t="str">
        <f>VLOOKUP(A214,'[16]2A OP indicators List_23Aug2020'!$F:$H,2,FALSE)</f>
        <v>RFI</v>
      </c>
      <c r="C214" s="111" t="str">
        <f>VLOOKUP(A214,'[16]2A OP indicators List_23Aug2020'!$F:$H,3,FALSE)</f>
        <v>Women represented in decision-making structures and processes (number) </v>
      </c>
      <c r="D214" s="195">
        <v>2744</v>
      </c>
      <c r="E214" s="195">
        <v>154</v>
      </c>
      <c r="F214" s="195"/>
      <c r="G214" s="132">
        <f t="shared" si="5"/>
        <v>2898</v>
      </c>
    </row>
    <row r="215" spans="1:7">
      <c r="A215" s="193">
        <v>2.4</v>
      </c>
      <c r="B215" s="111" t="str">
        <f>VLOOKUP(A215,'[16]2A OP indicators List_23Aug2020'!$F:$H,2,FALSE)</f>
        <v>RFI</v>
      </c>
      <c r="C215" s="111" t="str">
        <f>VLOOKUP(A215,'[16]2A OP indicators List_23Aug2020'!$F:$H,3,FALSE)</f>
        <v>Women and girls with increased time savings (number) </v>
      </c>
      <c r="D215" s="195">
        <v>1087858</v>
      </c>
      <c r="E215" s="195"/>
      <c r="F215" s="195"/>
      <c r="G215" s="132">
        <f t="shared" si="5"/>
        <v>1087858</v>
      </c>
    </row>
    <row r="216" spans="1:7">
      <c r="A216" s="193">
        <v>2.5</v>
      </c>
      <c r="B216" s="111" t="str">
        <f>VLOOKUP(A216,'[16]2A OP indicators List_23Aug2020'!$F:$H,2,FALSE)</f>
        <v>RFI</v>
      </c>
      <c r="C216" s="111" t="str">
        <f>VLOOKUP(A216,'[16]2A OP indicators List_23Aug2020'!$F:$H,3,FALSE)</f>
        <v>Women and girls with increased resilience to climate change, disasters, and other external shocks (number) </v>
      </c>
      <c r="D216" s="195">
        <v>508258</v>
      </c>
      <c r="E216" s="195"/>
      <c r="F216" s="195"/>
      <c r="G216" s="132">
        <f t="shared" si="5"/>
        <v>508258</v>
      </c>
    </row>
    <row r="217" spans="1:7">
      <c r="A217" s="193" t="s">
        <v>322</v>
      </c>
      <c r="B217" s="111" t="str">
        <f>VLOOKUP(A217,'[16]2A OP indicators List_23Aug2020'!$F:$H,2,FALSE)</f>
        <v>TI</v>
      </c>
      <c r="C217" s="111" t="str">
        <f>VLOOKUP(A217,'[16]2A OP indicators List_23Aug2020'!$F:$H,3,FALSE)</f>
        <v>Women enrolled in TVET and other job training (number) </v>
      </c>
      <c r="D217" s="195">
        <v>831.66669999999999</v>
      </c>
      <c r="E217" s="195">
        <v>850753</v>
      </c>
      <c r="F217" s="195"/>
      <c r="G217" s="132">
        <f t="shared" si="5"/>
        <v>851584.66669999994</v>
      </c>
    </row>
    <row r="218" spans="1:7">
      <c r="A218" s="193" t="s">
        <v>339</v>
      </c>
      <c r="B218" s="111" t="str">
        <f>VLOOKUP(A218,'[16]2A OP indicators List_23Aug2020'!$F:$H,2,FALSE)</f>
        <v>TI</v>
      </c>
      <c r="C218" s="111" t="str">
        <f>VLOOKUP(A218,'[16]2A OP indicators List_23Aug2020'!$F:$H,3,FALSE)</f>
        <v>Women opening new accounts (number) </v>
      </c>
      <c r="D218" s="195"/>
      <c r="E218" s="195">
        <v>900000</v>
      </c>
      <c r="F218" s="195"/>
      <c r="G218" s="132">
        <f t="shared" si="5"/>
        <v>900000</v>
      </c>
    </row>
    <row r="219" spans="1:7">
      <c r="A219" s="193" t="s">
        <v>344</v>
      </c>
      <c r="B219" s="111" t="str">
        <f>VLOOKUP(A219,'[16]2A OP indicators List_23Aug2020'!$F:$H,2,FALSE)</f>
        <v>TI</v>
      </c>
      <c r="C219" s="111" t="str">
        <f>VLOOKUP(A219,'[16]2A OP indicators List_23Aug2020'!$F:$H,3,FALSE)</f>
        <v>Women-owned or -led SME loan accounts opened or women-owned or -led SME end borrowers reached (number)</v>
      </c>
      <c r="D219" s="195"/>
      <c r="E219" s="195">
        <v>1372243.8</v>
      </c>
      <c r="F219" s="195"/>
      <c r="G219" s="132">
        <f t="shared" si="5"/>
        <v>1372243.8</v>
      </c>
    </row>
    <row r="220" spans="1:7">
      <c r="A220" s="193" t="s">
        <v>306</v>
      </c>
      <c r="B220" s="111" t="str">
        <f>VLOOKUP(A220,'[16]2A OP indicators List_23Aug2020'!$F:$H,2,FALSE)</f>
        <v>TI</v>
      </c>
      <c r="C220" s="111" t="str">
        <f>VLOOKUP(A220,'[16]2A OP indicators List_23Aug2020'!$F:$H,3,FALSE)</f>
        <v>Women and girls benefiting from new or improved infrastructure (number) </v>
      </c>
      <c r="D220" s="195">
        <v>58495.081188118813</v>
      </c>
      <c r="E220" s="195"/>
      <c r="F220" s="195"/>
      <c r="G220" s="132">
        <f t="shared" si="5"/>
        <v>58495.081188118813</v>
      </c>
    </row>
    <row r="221" spans="1:7">
      <c r="A221" s="193" t="s">
        <v>468</v>
      </c>
      <c r="B221" s="111" t="str">
        <f>VLOOKUP(A221,'[16]2A OP indicators List_23Aug2020'!$F:$H,2,FALSE)</f>
        <v>TI</v>
      </c>
      <c r="C221" s="111" t="str">
        <f>VLOOKUP(A221,'[16]2A OP indicators List_23Aug2020'!$F:$H,3,FALSE)</f>
        <v>Health services for women and girls established or improved (number)</v>
      </c>
      <c r="D221" s="195"/>
      <c r="E221" s="195">
        <v>1</v>
      </c>
      <c r="F221" s="195"/>
      <c r="G221" s="132">
        <f t="shared" si="5"/>
        <v>1</v>
      </c>
    </row>
    <row r="222" spans="1:7">
      <c r="A222" s="193" t="s">
        <v>346</v>
      </c>
      <c r="B222" s="111" t="str">
        <f>VLOOKUP(A222,'[16]2A OP indicators List_23Aug2020'!$F:$H,2,FALSE)</f>
        <v>TI</v>
      </c>
      <c r="C222" s="111" t="str">
        <f>VLOOKUP(A222,'[16]2A OP indicators List_23Aug2020'!$F:$H,3,FALSE)</f>
        <v>Solutions to prevent or address gender-based violence implemented (number) </v>
      </c>
      <c r="D222" s="195"/>
      <c r="E222" s="195">
        <v>3</v>
      </c>
      <c r="F222" s="195"/>
      <c r="G222" s="132">
        <f t="shared" si="5"/>
        <v>3</v>
      </c>
    </row>
    <row r="223" spans="1:7">
      <c r="A223" s="193" t="s">
        <v>279</v>
      </c>
      <c r="B223" s="111" t="str">
        <f>VLOOKUP(A223,'[16]2A OP indicators List_23Aug2020'!$F:$H,2,FALSE)</f>
        <v>TI</v>
      </c>
      <c r="C223" s="111" t="str">
        <f>VLOOKUP(A223,'[16]2A OP indicators List_23Aug2020'!$F:$H,3,FALSE)</f>
        <v>Measures on gender equality supported in implementation (number)</v>
      </c>
      <c r="D223" s="195">
        <v>2</v>
      </c>
      <c r="E223" s="195"/>
      <c r="F223" s="195"/>
      <c r="G223" s="132">
        <f t="shared" si="5"/>
        <v>2</v>
      </c>
    </row>
    <row r="224" spans="1:7">
      <c r="A224" s="193" t="s">
        <v>308</v>
      </c>
      <c r="B224" s="111" t="str">
        <f>VLOOKUP(A224,'[16]2A OP indicators List_23Aug2020'!$F:$H,2,FALSE)</f>
        <v>TI</v>
      </c>
      <c r="C224" s="111" t="str">
        <f>VLOOKUP(A224,'[16]2A OP indicators List_23Aug2020'!$F:$H,3,FALSE)</f>
        <v>Time-saving or gender-responsive infrastructure assets and/or services established or improved (number)</v>
      </c>
      <c r="D224" s="195">
        <v>22</v>
      </c>
      <c r="E224" s="195"/>
      <c r="F224" s="195"/>
      <c r="G224" s="132">
        <f t="shared" si="5"/>
        <v>22</v>
      </c>
    </row>
    <row r="225" spans="1:7">
      <c r="A225" s="193" t="s">
        <v>512</v>
      </c>
      <c r="B225" s="111" t="str">
        <f>VLOOKUP(A225,'[16]2A OP indicators List_23Aug2020'!$F:$H,2,FALSE)</f>
        <v>TI</v>
      </c>
      <c r="C225" s="111" t="str">
        <f>VLOOKUP(A225,'[16]2A OP indicators List_23Aug2020'!$F:$H,3,FALSE)</f>
        <v>Climate- and disaster-resilient infrastructure assets and/or services for women and girls established or improved (number)</v>
      </c>
      <c r="D225" s="195">
        <v>9</v>
      </c>
      <c r="E225" s="195"/>
      <c r="F225" s="195"/>
      <c r="G225" s="132">
        <f t="shared" si="5"/>
        <v>9</v>
      </c>
    </row>
    <row r="226" spans="1:7">
      <c r="A226" s="128" t="s">
        <v>391</v>
      </c>
      <c r="B226" s="111"/>
      <c r="C226" s="111"/>
      <c r="D226" s="196"/>
      <c r="E226" s="196"/>
      <c r="F226" s="196"/>
      <c r="G226" s="132"/>
    </row>
    <row r="227" spans="1:7">
      <c r="A227" s="193">
        <v>3.1</v>
      </c>
      <c r="B227" s="111" t="str">
        <f>VLOOKUP(A227,'[16]2A OP indicators List_23Aug2020'!$F:$H,2,FALSE)</f>
        <v>RFI</v>
      </c>
      <c r="C227" s="111" t="str">
        <f>VLOOKUP(A227,'[16]2A OP indicators List_23Aug2020'!$F:$H,3,FALSE)</f>
        <v>Total annual greenhouse gas emissions reduction (tCO2e/year) </v>
      </c>
      <c r="D227" s="195">
        <v>19913604</v>
      </c>
      <c r="E227" s="195"/>
      <c r="F227" s="195"/>
      <c r="G227" s="132">
        <f t="shared" si="5"/>
        <v>19913604</v>
      </c>
    </row>
    <row r="228" spans="1:7">
      <c r="A228" s="193">
        <v>3.2</v>
      </c>
      <c r="B228" s="111" t="str">
        <f>VLOOKUP(A228,'[16]2A OP indicators List_23Aug2020'!$F:$H,2,FALSE)</f>
        <v>RFI</v>
      </c>
      <c r="C228" s="111" t="str">
        <f>VLOOKUP(A228,'[16]2A OP indicators List_23Aug2020'!$F:$H,3,FALSE)</f>
        <v>People with strengthened climate and disaster resilience (number)</v>
      </c>
      <c r="D228" s="195">
        <v>2925379</v>
      </c>
      <c r="E228" s="195"/>
      <c r="F228" s="195"/>
      <c r="G228" s="132">
        <f t="shared" si="5"/>
        <v>2925379</v>
      </c>
    </row>
    <row r="229" spans="1:7">
      <c r="A229" s="193">
        <v>3.3</v>
      </c>
      <c r="B229" s="111" t="str">
        <f>VLOOKUP(A229,'[16]2A OP indicators List_23Aug2020'!$F:$H,2,FALSE)</f>
        <v>RFI</v>
      </c>
      <c r="C229" s="111" t="str">
        <f>VLOOKUP(A229,'[16]2A OP indicators List_23Aug2020'!$F:$H,3,FALSE)</f>
        <v>People benefiting from strengthened environmental sustainability (number)</v>
      </c>
      <c r="D229" s="195">
        <v>942917</v>
      </c>
      <c r="E229" s="195"/>
      <c r="F229" s="195"/>
      <c r="G229" s="132">
        <f t="shared" si="5"/>
        <v>942917</v>
      </c>
    </row>
    <row r="230" spans="1:7">
      <c r="A230" s="193" t="s">
        <v>454</v>
      </c>
      <c r="B230" s="111" t="str">
        <f>VLOOKUP(A230,'[16]2A OP indicators List_23Aug2020'!$F:$H,2,FALSE)</f>
        <v>TI</v>
      </c>
      <c r="C230" s="111" t="str">
        <f>VLOOKUP(A230,'[16]2A OP indicators List_23Aug2020'!$F:$H,3,FALSE)</f>
        <v>Additional climate finance mobilized ($) </v>
      </c>
      <c r="D230" s="195">
        <v>2469988746.6848288</v>
      </c>
      <c r="E230" s="195"/>
      <c r="F230" s="195"/>
      <c r="G230" s="132">
        <f t="shared" si="5"/>
        <v>2469988746.6848288</v>
      </c>
    </row>
    <row r="231" spans="1:7">
      <c r="A231" s="193" t="s">
        <v>326</v>
      </c>
      <c r="B231" s="111" t="str">
        <f>VLOOKUP(A231,'[16]2A OP indicators List_23Aug2020'!$F:$H,2,FALSE)</f>
        <v>TI</v>
      </c>
      <c r="C231" s="111" t="str">
        <f>VLOOKUP(A231,'[16]2A OP indicators List_23Aug2020'!$F:$H,3,FALSE)</f>
        <v>Low-carbon infrastructure assets established or improved (number)</v>
      </c>
      <c r="D231" s="195">
        <v>17</v>
      </c>
      <c r="E231" s="195">
        <v>1</v>
      </c>
      <c r="F231" s="195"/>
      <c r="G231" s="132">
        <f t="shared" si="5"/>
        <v>18</v>
      </c>
    </row>
    <row r="232" spans="1:7">
      <c r="A232" s="193" t="s">
        <v>313</v>
      </c>
      <c r="B232" s="111" t="str">
        <f>VLOOKUP(A232,'[16]2A OP indicators List_23Aug2020'!$F:$H,2,FALSE)</f>
        <v>TI</v>
      </c>
      <c r="C232" s="111" t="str">
        <f>VLOOKUP(A232,'[16]2A OP indicators List_23Aug2020'!$F:$H,3,FALSE)</f>
        <v>Installed renewable energy capacity (megawatts)</v>
      </c>
      <c r="D232" s="195">
        <v>8320</v>
      </c>
      <c r="E232" s="195"/>
      <c r="F232" s="195"/>
      <c r="G232" s="132">
        <f t="shared" si="5"/>
        <v>8320</v>
      </c>
    </row>
    <row r="233" spans="1:7">
      <c r="A233" s="193" t="s">
        <v>402</v>
      </c>
      <c r="B233" s="111" t="str">
        <f>VLOOKUP(A233,'[16]2A OP indicators List_23Aug2020'!$F:$H,2,FALSE)</f>
        <v>TI</v>
      </c>
      <c r="C233" s="111" t="str">
        <f>VLOOKUP(A233,'[16]2A OP indicators List_23Aug2020'!$F:$H,3,FALSE)</f>
        <v>Area with reduced flood risk (hectares) </v>
      </c>
      <c r="D233" s="195">
        <v>52187</v>
      </c>
      <c r="E233" s="195"/>
      <c r="F233" s="195"/>
      <c r="G233" s="132">
        <f t="shared" si="5"/>
        <v>52187</v>
      </c>
    </row>
    <row r="234" spans="1:7">
      <c r="A234" s="193" t="s">
        <v>440</v>
      </c>
      <c r="B234" s="111" t="str">
        <f>VLOOKUP(A234,'[16]2A OP indicators List_23Aug2020'!$F:$H,2,FALSE)</f>
        <v>TI</v>
      </c>
      <c r="C234" s="111" t="str">
        <f>VLOOKUP(A234,'[16]2A OP indicators List_23Aug2020'!$F:$H,3,FALSE)</f>
        <v>National and subnational disaster risk reduction and/or management plans supported in implementation (number) </v>
      </c>
      <c r="D234" s="195">
        <v>3</v>
      </c>
      <c r="E234" s="195"/>
      <c r="F234" s="195"/>
      <c r="G234" s="132">
        <f t="shared" si="5"/>
        <v>3</v>
      </c>
    </row>
    <row r="235" spans="1:7">
      <c r="A235" s="193" t="s">
        <v>282</v>
      </c>
      <c r="B235" s="111" t="str">
        <f>VLOOKUP(A235,'[16]2A OP indicators List_23Aug2020'!$F:$H,2,FALSE)</f>
        <v>TI</v>
      </c>
      <c r="C235" s="111" t="str">
        <f>VLOOKUP(A235,'[16]2A OP indicators List_23Aug2020'!$F:$H,3,FALSE)</f>
        <v>New and existing infrastructure assets made climate and disaster resilient (number)</v>
      </c>
      <c r="D235" s="195">
        <v>50</v>
      </c>
      <c r="E235" s="195"/>
      <c r="F235" s="195"/>
      <c r="G235" s="132">
        <f t="shared" si="5"/>
        <v>50</v>
      </c>
    </row>
    <row r="236" spans="1:7">
      <c r="A236" s="193" t="s">
        <v>328</v>
      </c>
      <c r="B236" s="111" t="str">
        <f>VLOOKUP(A236,'[16]2A OP indicators List_23Aug2020'!$F:$H,2,FALSE)</f>
        <v>TI</v>
      </c>
      <c r="C236" s="111" t="str">
        <f>VLOOKUP(A236,'[16]2A OP indicators List_23Aug2020'!$F:$H,3,FALSE)</f>
        <v xml:space="preserve">Pollution control enhancing infrastructure assets established or improved (number) </v>
      </c>
      <c r="D236" s="195">
        <v>20</v>
      </c>
      <c r="E236" s="195"/>
      <c r="F236" s="195"/>
      <c r="G236" s="132">
        <f t="shared" si="5"/>
        <v>20</v>
      </c>
    </row>
    <row r="237" spans="1:7">
      <c r="A237" s="193" t="s">
        <v>418</v>
      </c>
      <c r="B237" s="111" t="str">
        <f>VLOOKUP(A237,'[16]2A OP indicators List_23Aug2020'!$F:$H,2,FALSE)</f>
        <v>TI</v>
      </c>
      <c r="C237" s="111" t="str">
        <f>VLOOKUP(A237,'[16]2A OP indicators List_23Aug2020'!$F:$H,3,FALSE)</f>
        <v>Terrestrial, coastal, and marine areas conserved, restored, and/or enhanced (hectares)</v>
      </c>
      <c r="D237" s="195">
        <v>97977</v>
      </c>
      <c r="E237" s="195"/>
      <c r="F237" s="195"/>
      <c r="G237" s="132">
        <f t="shared" si="5"/>
        <v>97977</v>
      </c>
    </row>
    <row r="238" spans="1:7">
      <c r="A238" s="193" t="s">
        <v>284</v>
      </c>
      <c r="B238" s="111" t="str">
        <f>VLOOKUP(A238,'[16]2A OP indicators List_23Aug2020'!$F:$H,2,FALSE)</f>
        <v>TI</v>
      </c>
      <c r="C238" s="111" t="str">
        <f>VLOOKUP(A238,'[16]2A OP indicators List_23Aug2020'!$F:$H,3,FALSE)</f>
        <v>Solutions to conserve, restore, and/or enhance terrestrial, coastal, and marine areas implemented (number) </v>
      </c>
      <c r="D238" s="195">
        <v>7</v>
      </c>
      <c r="E238" s="195"/>
      <c r="F238" s="195"/>
      <c r="G238" s="132">
        <f t="shared" si="5"/>
        <v>7</v>
      </c>
    </row>
    <row r="239" spans="1:7">
      <c r="A239" s="128" t="s">
        <v>392</v>
      </c>
      <c r="B239" s="111"/>
      <c r="C239" s="111"/>
      <c r="D239" s="196"/>
      <c r="E239" s="196"/>
      <c r="F239" s="196"/>
      <c r="G239" s="132"/>
    </row>
    <row r="240" spans="1:7">
      <c r="A240" s="193">
        <v>4.0999999999999996</v>
      </c>
      <c r="B240" s="111" t="str">
        <f>VLOOKUP(A240,'[16]2A OP indicators List_23Aug2020'!$F:$H,2,FALSE)</f>
        <v>RFI</v>
      </c>
      <c r="C240" s="111" t="str">
        <f>VLOOKUP(A240,'[16]2A OP indicators List_23Aug2020'!$F:$H,3,FALSE)</f>
        <v>People benefiting from improved services in urban areas (number)</v>
      </c>
      <c r="D240" s="195">
        <v>25273114.600000001</v>
      </c>
      <c r="E240" s="195"/>
      <c r="F240" s="195"/>
      <c r="G240" s="132">
        <f t="shared" si="5"/>
        <v>25273114.600000001</v>
      </c>
    </row>
    <row r="241" spans="1:7">
      <c r="A241" s="193">
        <v>4.2</v>
      </c>
      <c r="B241" s="111" t="str">
        <f>VLOOKUP(A241,'[16]2A OP indicators List_23Aug2020'!$F:$H,2,FALSE)</f>
        <v>RFI</v>
      </c>
      <c r="C241" s="111" t="str">
        <f>VLOOKUP(A241,'[16]2A OP indicators List_23Aug2020'!$F:$H,3,FALSE)</f>
        <v>Entities with improved urban planning and financial sustainability (number)</v>
      </c>
      <c r="D241" s="195">
        <v>11</v>
      </c>
      <c r="E241" s="195"/>
      <c r="F241" s="195"/>
      <c r="G241" s="132">
        <f t="shared" si="5"/>
        <v>11</v>
      </c>
    </row>
    <row r="242" spans="1:7">
      <c r="A242" s="193">
        <v>4.3</v>
      </c>
      <c r="B242" s="111" t="str">
        <f>VLOOKUP(A242,'[16]2A OP indicators List_23Aug2020'!$F:$H,2,FALSE)</f>
        <v>RFI</v>
      </c>
      <c r="C242" s="111" t="str">
        <f>VLOOKUP(A242,'[16]2A OP indicators List_23Aug2020'!$F:$H,3,FALSE)</f>
        <v>Zones with improved urban environment, climate resilience, and disaster risk management (number) </v>
      </c>
      <c r="D242" s="195">
        <v>3</v>
      </c>
      <c r="E242" s="195"/>
      <c r="F242" s="195"/>
      <c r="G242" s="132">
        <f t="shared" si="5"/>
        <v>3</v>
      </c>
    </row>
    <row r="243" spans="1:7">
      <c r="A243" s="193" t="s">
        <v>286</v>
      </c>
      <c r="B243" s="111" t="str">
        <f>VLOOKUP(A243,'[16]2A OP indicators List_23Aug2020'!$F:$H,2,FALSE)</f>
        <v>TI</v>
      </c>
      <c r="C243" s="111" t="str">
        <f>VLOOKUP(A243,'[16]2A OP indicators List_23Aug2020'!$F:$H,3,FALSE)</f>
        <v>Service providers with improved performance (number)</v>
      </c>
      <c r="D243" s="195">
        <v>1</v>
      </c>
      <c r="E243" s="195"/>
      <c r="F243" s="195"/>
      <c r="G243" s="132">
        <f t="shared" si="5"/>
        <v>1</v>
      </c>
    </row>
    <row r="244" spans="1:7">
      <c r="A244" s="193" t="s">
        <v>295</v>
      </c>
      <c r="B244" s="111" t="str">
        <f>VLOOKUP(A244,'[16]2A OP indicators List_23Aug2020'!$F:$H,2,FALSE)</f>
        <v>TI</v>
      </c>
      <c r="C244" s="111" t="str">
        <f>VLOOKUP(A244,'[16]2A OP indicators List_23Aug2020'!$F:$H,3,FALSE)</f>
        <v>Urban infrastructure assets established or improved (number)</v>
      </c>
      <c r="D244" s="195">
        <v>78</v>
      </c>
      <c r="E244" s="195">
        <v>4</v>
      </c>
      <c r="F244" s="195"/>
      <c r="G244" s="132">
        <f t="shared" si="5"/>
        <v>82</v>
      </c>
    </row>
    <row r="245" spans="1:7">
      <c r="A245" s="193" t="s">
        <v>297</v>
      </c>
      <c r="B245" s="111" t="str">
        <f>VLOOKUP(A245,'[16]2A OP indicators List_23Aug2020'!$F:$H,2,FALSE)</f>
        <v>TI</v>
      </c>
      <c r="C245" s="111" t="str">
        <f>VLOOKUP(A245,'[16]2A OP indicators List_23Aug2020'!$F:$H,3,FALSE)</f>
        <v>Measures to improve regulatory, legal, and institutional environment for better planning supported in implementation (number)</v>
      </c>
      <c r="D245" s="195">
        <v>2</v>
      </c>
      <c r="E245" s="195"/>
      <c r="F245" s="195"/>
      <c r="G245" s="132">
        <f t="shared" si="5"/>
        <v>2</v>
      </c>
    </row>
    <row r="246" spans="1:7">
      <c r="A246" s="193" t="s">
        <v>460</v>
      </c>
      <c r="B246" s="111" t="str">
        <f>VLOOKUP(A246,'[16]2A OP indicators List_23Aug2020'!$F:$H,2,FALSE)</f>
        <v>TI</v>
      </c>
      <c r="C246" s="111" t="str">
        <f>VLOOKUP(A246,'[16]2A OP indicators List_23Aug2020'!$F:$H,3,FALSE)</f>
        <v>Measures to improve financial sustainability supported in implementation (number) </v>
      </c>
      <c r="D246" s="195">
        <v>6</v>
      </c>
      <c r="E246" s="195"/>
      <c r="F246" s="195"/>
      <c r="G246" s="132">
        <f t="shared" si="5"/>
        <v>6</v>
      </c>
    </row>
    <row r="247" spans="1:7">
      <c r="A247" s="193" t="s">
        <v>299</v>
      </c>
      <c r="B247" s="111" t="str">
        <f>VLOOKUP(A247,'[16]2A OP indicators List_23Aug2020'!$F:$H,2,FALSE)</f>
        <v>TI</v>
      </c>
      <c r="C247" s="111" t="str">
        <f>VLOOKUP(A247,'[16]2A OP indicators List_23Aug2020'!$F:$H,3,FALSE)</f>
        <v>Solutions to enhance urban environment implemented (number)</v>
      </c>
      <c r="D247" s="195">
        <v>2</v>
      </c>
      <c r="E247" s="195"/>
      <c r="F247" s="195"/>
      <c r="G247" s="132">
        <f t="shared" si="5"/>
        <v>2</v>
      </c>
    </row>
    <row r="248" spans="1:7">
      <c r="A248" s="128" t="s">
        <v>393</v>
      </c>
      <c r="B248" s="111"/>
      <c r="C248" s="111"/>
      <c r="D248" s="196"/>
      <c r="E248" s="196"/>
      <c r="F248" s="196"/>
      <c r="G248" s="132"/>
    </row>
    <row r="249" spans="1:7">
      <c r="A249" s="193">
        <v>5.0999999999999996</v>
      </c>
      <c r="B249" s="111" t="str">
        <f>VLOOKUP(A249,'[16]2A OP indicators List_23Aug2020'!$F:$H,2,FALSE)</f>
        <v>RFI</v>
      </c>
      <c r="C249" s="111" t="str">
        <f>VLOOKUP(A249,'[16]2A OP indicators List_23Aug2020'!$F:$H,3,FALSE)</f>
        <v>People benefiting from increased rural investment (number)</v>
      </c>
      <c r="D249" s="195">
        <v>99600717.579999998</v>
      </c>
      <c r="E249" s="195"/>
      <c r="F249" s="195"/>
      <c r="G249" s="132">
        <f t="shared" si="5"/>
        <v>99600717.579999998</v>
      </c>
    </row>
    <row r="250" spans="1:7">
      <c r="A250" s="193">
        <v>5.3</v>
      </c>
      <c r="B250" s="111" t="str">
        <f>VLOOKUP(A250,'[16]2A OP indicators List_23Aug2020'!$F:$H,2,FALSE)</f>
        <v>RFI</v>
      </c>
      <c r="C250" s="111" t="str">
        <f>VLOOKUP(A250,'[16]2A OP indicators List_23Aug2020'!$F:$H,3,FALSE)</f>
        <v>Land with higher productivity (hectares)</v>
      </c>
      <c r="D250" s="195">
        <v>65297</v>
      </c>
      <c r="E250" s="195"/>
      <c r="F250" s="195"/>
      <c r="G250" s="132">
        <f t="shared" si="5"/>
        <v>65297</v>
      </c>
    </row>
    <row r="251" spans="1:7">
      <c r="A251" s="193" t="s">
        <v>315</v>
      </c>
      <c r="B251" s="111" t="str">
        <f>VLOOKUP(A251,'[16]2A OP indicators List_23Aug2020'!$F:$H,2,FALSE)</f>
        <v>TI</v>
      </c>
      <c r="C251" s="111" t="str">
        <f>VLOOKUP(A251,'[16]2A OP indicators List_23Aug2020'!$F:$H,3,FALSE)</f>
        <v>Rural infrastructure assets established or improved (number)</v>
      </c>
      <c r="D251" s="195">
        <v>51</v>
      </c>
      <c r="E251" s="195"/>
      <c r="F251" s="195"/>
      <c r="G251" s="132">
        <f t="shared" si="5"/>
        <v>51</v>
      </c>
    </row>
    <row r="252" spans="1:7">
      <c r="A252" s="128" t="s">
        <v>394</v>
      </c>
      <c r="B252" s="111"/>
      <c r="C252" s="111"/>
      <c r="D252" s="196"/>
      <c r="E252" s="196"/>
      <c r="F252" s="196"/>
      <c r="G252" s="132"/>
    </row>
    <row r="253" spans="1:7">
      <c r="A253" s="193">
        <v>6.1</v>
      </c>
      <c r="B253" s="111" t="str">
        <f>VLOOKUP(A253,'[16]2A OP indicators List_23Aug2020'!$F:$H,2,FALSE)</f>
        <v>RFI</v>
      </c>
      <c r="C253" s="111" t="str">
        <f>VLOOKUP(A253,'[16]2A OP indicators List_23Aug2020'!$F:$H,3,FALSE)</f>
        <v>Entities with improved management functions and financial stability (number) </v>
      </c>
      <c r="D253" s="195">
        <v>25</v>
      </c>
      <c r="E253" s="195">
        <v>2</v>
      </c>
      <c r="F253" s="195"/>
      <c r="G253" s="132">
        <f t="shared" si="5"/>
        <v>27</v>
      </c>
    </row>
    <row r="254" spans="1:7">
      <c r="A254" s="193">
        <v>6.2</v>
      </c>
      <c r="B254" s="111" t="str">
        <f>VLOOKUP(A254,'[16]2A OP indicators List_23Aug2020'!$F:$H,2,FALSE)</f>
        <v>RFI</v>
      </c>
      <c r="C254" s="111" t="str">
        <f>VLOOKUP(A254,'[16]2A OP indicators List_23Aug2020'!$F:$H,3,FALSE)</f>
        <v>Entities with improved service delivery (number) </v>
      </c>
      <c r="D254" s="195">
        <v>22</v>
      </c>
      <c r="E254" s="195">
        <v>1</v>
      </c>
      <c r="F254" s="195"/>
      <c r="G254" s="132">
        <f t="shared" si="5"/>
        <v>23</v>
      </c>
    </row>
    <row r="255" spans="1:7">
      <c r="A255" s="193" t="s">
        <v>310</v>
      </c>
      <c r="B255" s="111" t="str">
        <f>VLOOKUP(A255,'[16]2A OP indicators List_23Aug2020'!$F:$H,2,FALSE)</f>
        <v>TI</v>
      </c>
      <c r="C255" s="111" t="str">
        <f>VLOOKUP(A255,'[16]2A OP indicators List_23Aug2020'!$F:$H,3,FALSE)</f>
        <v>Government officials with increased capacity to design, implement, monitor, and evaluate relevant measures (number)</v>
      </c>
      <c r="D255" s="195">
        <v>7555</v>
      </c>
      <c r="E255" s="195"/>
      <c r="F255" s="195"/>
      <c r="G255" s="132">
        <f t="shared" si="5"/>
        <v>7555</v>
      </c>
    </row>
    <row r="256" spans="1:7">
      <c r="A256" s="193" t="s">
        <v>377</v>
      </c>
      <c r="B256" s="111" t="str">
        <f>VLOOKUP(A256,'[16]2A OP indicators List_23Aug2020'!$F:$H,2,FALSE)</f>
        <v>TI</v>
      </c>
      <c r="C256" s="111" t="str">
        <f>VLOOKUP(A256,'[16]2A OP indicators List_23Aug2020'!$F:$H,3,FALSE)</f>
        <v>Measures supported in implementation to improve capacity of public organizations to promote the private sector and finance sector (number)</v>
      </c>
      <c r="D256" s="195"/>
      <c r="E256" s="195"/>
      <c r="F256" s="195">
        <v>1</v>
      </c>
      <c r="G256" s="132">
        <f t="shared" si="5"/>
        <v>1</v>
      </c>
    </row>
    <row r="257" spans="1:7">
      <c r="A257" s="193" t="s">
        <v>288</v>
      </c>
      <c r="B257" s="111" t="str">
        <f>VLOOKUP(A257,'[16]2A OP indicators List_23Aug2020'!$F:$H,2,FALSE)</f>
        <v>TI</v>
      </c>
      <c r="C257" s="111" t="str">
        <f>VLOOKUP(A257,'[16]2A OP indicators List_23Aug2020'!$F:$H,3,FALSE)</f>
        <v>Service delivery standards adopted and/or supported in implementation by government and/or private entities (number)</v>
      </c>
      <c r="D257" s="195">
        <v>2</v>
      </c>
      <c r="E257" s="195"/>
      <c r="F257" s="195">
        <v>1</v>
      </c>
      <c r="G257" s="132">
        <f t="shared" si="5"/>
        <v>3</v>
      </c>
    </row>
    <row r="258" spans="1:7">
      <c r="A258" s="193" t="s">
        <v>362</v>
      </c>
      <c r="B258" s="111" t="str">
        <f>VLOOKUP(A258,'[16]2A OP indicators List_23Aug2020'!$F:$H,2,FALSE)</f>
        <v>TI</v>
      </c>
      <c r="C258" s="111" t="str">
        <f>VLOOKUP(A258,'[16]2A OP indicators List_23Aug2020'!$F:$H,3,FALSE)</f>
        <v>Measures supported in implementation to strengthen subnational entities' ability to better manage their public finances (number)</v>
      </c>
      <c r="D258" s="195">
        <v>9</v>
      </c>
      <c r="E258" s="195"/>
      <c r="F258" s="195"/>
      <c r="G258" s="132">
        <f t="shared" si="5"/>
        <v>9</v>
      </c>
    </row>
    <row r="259" spans="1:7">
      <c r="A259" s="193" t="s">
        <v>451</v>
      </c>
      <c r="B259" s="111" t="str">
        <f>VLOOKUP(A259,'[16]2A OP indicators List_23Aug2020'!$F:$H,2,FALSE)</f>
        <v>TI</v>
      </c>
      <c r="C259" s="111" t="str">
        <f>VLOOKUP(A259,'[16]2A OP indicators List_23Aug2020'!$F:$H,3,FALSE)</f>
        <v>Measures to strengthen SOE governance supported in implementation (number)</v>
      </c>
      <c r="D259" s="195">
        <v>1</v>
      </c>
      <c r="E259" s="195"/>
      <c r="F259" s="195"/>
      <c r="G259" s="132">
        <f t="shared" si="5"/>
        <v>1</v>
      </c>
    </row>
    <row r="260" spans="1:7">
      <c r="A260" s="194" t="s">
        <v>370</v>
      </c>
      <c r="B260" s="147" t="str">
        <f>VLOOKUP(A260,'[16]2A OP indicators List_23Aug2020'!$F:$H,2,FALSE)</f>
        <v>TI</v>
      </c>
      <c r="C260" s="147" t="str">
        <f>VLOOKUP(A260,'[16]2A OP indicators List_23Aug2020'!$F:$H,3,FALSE)</f>
        <v>Citizen engagement mechanisms adopted (number)</v>
      </c>
      <c r="D260" s="197">
        <v>2</v>
      </c>
      <c r="E260" s="197"/>
      <c r="F260" s="197"/>
      <c r="G260" s="135">
        <f t="shared" si="5"/>
        <v>2</v>
      </c>
    </row>
    <row r="261" spans="1:7">
      <c r="A261" s="94"/>
      <c r="B261" s="94"/>
      <c r="C261" s="94"/>
      <c r="D261" s="177"/>
      <c r="E261" s="94"/>
      <c r="F261" s="94"/>
      <c r="G261" s="94"/>
    </row>
    <row r="262" spans="1:7">
      <c r="A262" s="94"/>
      <c r="B262" s="94"/>
      <c r="C262" s="94"/>
      <c r="D262" s="177"/>
      <c r="E262" s="94"/>
      <c r="F262" s="94"/>
      <c r="G262" s="94"/>
    </row>
    <row r="263" spans="1:7">
      <c r="A263" s="94"/>
      <c r="B263" s="94"/>
      <c r="C263" s="94"/>
      <c r="D263" s="177"/>
      <c r="E263" s="94"/>
      <c r="F263" s="94"/>
      <c r="G263" s="94"/>
    </row>
    <row r="264" spans="1:7">
      <c r="A264" s="94"/>
      <c r="B264" s="94"/>
      <c r="C264" s="94"/>
      <c r="D264" s="177"/>
      <c r="E264" s="94"/>
      <c r="F264" s="94"/>
      <c r="G264" s="94"/>
    </row>
    <row r="265" spans="1:7">
      <c r="A265" s="94"/>
      <c r="B265" s="94"/>
      <c r="C265" s="94"/>
      <c r="D265" s="177"/>
      <c r="E265" s="94"/>
      <c r="F265" s="94"/>
      <c r="G265" s="94"/>
    </row>
    <row r="266" spans="1:7">
      <c r="A266" s="94"/>
      <c r="B266" s="94"/>
      <c r="C266" s="94"/>
      <c r="D266" s="177"/>
      <c r="E266" s="94"/>
      <c r="F266" s="94"/>
      <c r="G266" s="94"/>
    </row>
    <row r="267" spans="1:7">
      <c r="A267" s="94"/>
      <c r="B267" s="94"/>
      <c r="C267" s="94"/>
      <c r="D267" s="177"/>
      <c r="E267" s="94"/>
      <c r="F267" s="94"/>
      <c r="G267" s="94"/>
    </row>
  </sheetData>
  <autoFilter ref="A204:G260" xr:uid="{46C9B85F-94BD-2245-AD41-CC0576BF31B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2933F-D182-4F1B-B1D6-F8DA9CA0ECD9}">
  <ds:schemaRefs>
    <ds:schemaRef ds:uri="http://purl.org/dc/dcmitype/"/>
    <ds:schemaRef ds:uri="600e8ff9-9ee0-49b5-be24-8a4cae0e22ab"/>
    <ds:schemaRef ds:uri="http://schemas.microsoft.com/office/2006/documentManagement/types"/>
    <ds:schemaRef ds:uri="c1fdd505-2570-46c2-bd04-3e0f2d874cf5"/>
    <ds:schemaRef ds:uri="http://schemas.microsoft.com/office/infopath/2007/PartnerControls"/>
    <ds:schemaRef ds:uri="http://schemas.openxmlformats.org/package/2006/metadata/core-properties"/>
    <ds:schemaRef ds:uri="http://purl.org/dc/terms/"/>
    <ds:schemaRef ds:uri="a4fb19f8-e303-47ed-b2f8-d8a5044c492f"/>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369FE742-11AC-463C-B2AB-09DF5B657FB5}">
  <ds:schemaRefs>
    <ds:schemaRef ds:uri="http://schemas.microsoft.com/sharepoint/v3/contenttype/forms"/>
  </ds:schemaRefs>
</ds:datastoreItem>
</file>

<file path=customXml/itemProps3.xml><?xml version="1.0" encoding="utf-8"?>
<ds:datastoreItem xmlns:ds="http://schemas.openxmlformats.org/officeDocument/2006/customXml" ds:itemID="{35AEB13B-8D1A-44CE-989A-E498BBE8B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Breezy F. Boter</cp:lastModifiedBy>
  <cp:revision/>
  <dcterms:created xsi:type="dcterms:W3CDTF">2019-04-10T05:49:12Z</dcterms:created>
  <dcterms:modified xsi:type="dcterms:W3CDTF">2024-06-04T00:16:07Z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Sector">
    <vt:lpwstr/>
  </property>
  <property fmtid="{D5CDD505-2E9C-101B-9397-08002B2CF9AE}" pid="8" name="ADBContentGroup">
    <vt:lpwstr>3;#SPD|9a9a4b60-d9f6-4f48-88d9-fa0c32663524</vt:lpwstr>
  </property>
  <property fmtid="{D5CDD505-2E9C-101B-9397-08002B2CF9AE}" pid="9" name="ADBDocumentSecurity">
    <vt:lpwstr/>
  </property>
  <property fmtid="{D5CDD505-2E9C-101B-9397-08002B2CF9AE}" pid="10" name="d01a0ce1b141461dbfb235a3ab729a2c">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k985dbdc596c44d7acaf8184f33920f0">
    <vt:lpwstr/>
  </property>
  <property fmtid="{D5CDD505-2E9C-101B-9397-08002B2CF9AE}" pid="16" name="a37ff23a602146d4934a49238d370ca5">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2022-05-24T09:20:51Z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34befb22-11c7-48c5-b4bd-f400ae4c190d</vt:lpwstr>
  </property>
  <property fmtid="{D5CDD505-2E9C-101B-9397-08002B2CF9AE}" pid="24" name="MSIP_Label_817d4574-7375-4d17-b29c-6e4c6df0fcb0_ContentBits">
    <vt:lpwstr>2</vt:lpwstr>
  </property>
</Properties>
</file>