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2" documentId="11_4C50A80A97E87F7591537CE796E52A9A4228940D" xr6:coauthVersionLast="47" xr6:coauthVersionMax="47" xr10:uidLastSave="{027C1CCA-3A72-4339-9400-42A5974790DC}"/>
  <bookViews>
    <workbookView xWindow="-120" yWindow="-120" windowWidth="20730" windowHeight="11160" xr2:uid="{00000000-000D-0000-FFFF-FFFF00000000}"/>
  </bookViews>
  <sheets>
    <sheet name="Grants" sheetId="3" r:id="rId1"/>
  </sheets>
  <definedNames>
    <definedName name="_xlnm.Print_Area" localSheetId="0">Grants!$A$1:$F$293</definedName>
    <definedName name="_xlnm.Print_Titles" localSheetId="0">Grants!$9:$10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2" i="3" l="1"/>
  <c r="D283" i="3" s="1"/>
  <c r="D276" i="3" s="1"/>
  <c r="F278" i="3"/>
  <c r="F279" i="3" s="1"/>
  <c r="F276" i="3" s="1"/>
  <c r="F273" i="3"/>
  <c r="F272" i="3"/>
  <c r="F268" i="3"/>
  <c r="F269" i="3" s="1"/>
  <c r="D264" i="3"/>
  <c r="D265" i="3" s="1"/>
  <c r="D260" i="3"/>
  <c r="D259" i="3"/>
  <c r="D255" i="3"/>
  <c r="D256" i="3" s="1"/>
  <c r="D251" i="3"/>
  <c r="D252" i="3" s="1"/>
  <c r="D247" i="3"/>
  <c r="D246" i="3"/>
  <c r="D245" i="3"/>
  <c r="D241" i="3"/>
  <c r="D242" i="3" s="1"/>
  <c r="F240" i="3"/>
  <c r="F242" i="3" s="1"/>
  <c r="F236" i="3"/>
  <c r="F237" i="3" s="1"/>
  <c r="D232" i="3"/>
  <c r="D233" i="3" s="1"/>
  <c r="F231" i="3"/>
  <c r="F230" i="3"/>
  <c r="D226" i="3"/>
  <c r="D227" i="3" s="1"/>
  <c r="F225" i="3"/>
  <c r="F227" i="3" s="1"/>
  <c r="D220" i="3"/>
  <c r="D219" i="3"/>
  <c r="D218" i="3"/>
  <c r="D214" i="3"/>
  <c r="D215" i="3" s="1"/>
  <c r="D210" i="3"/>
  <c r="D209" i="3"/>
  <c r="F208" i="3"/>
  <c r="F211" i="3" s="1"/>
  <c r="D207" i="3"/>
  <c r="D203" i="3"/>
  <c r="D204" i="3" s="1"/>
  <c r="D199" i="3"/>
  <c r="D198" i="3"/>
  <c r="D197" i="3"/>
  <c r="F196" i="3"/>
  <c r="F195" i="3"/>
  <c r="D194" i="3"/>
  <c r="D193" i="3"/>
  <c r="D189" i="3"/>
  <c r="D188" i="3"/>
  <c r="D184" i="3"/>
  <c r="D185" i="3" s="1"/>
  <c r="D180" i="3"/>
  <c r="D179" i="3"/>
  <c r="D178" i="3"/>
  <c r="D177" i="3"/>
  <c r="D176" i="3"/>
  <c r="D172" i="3"/>
  <c r="D173" i="3" s="1"/>
  <c r="F168" i="3"/>
  <c r="F169" i="3" s="1"/>
  <c r="D167" i="3"/>
  <c r="D169" i="3" s="1"/>
  <c r="D162" i="3"/>
  <c r="D161" i="3"/>
  <c r="D157" i="3"/>
  <c r="D156" i="3"/>
  <c r="D152" i="3"/>
  <c r="D151" i="3"/>
  <c r="D153" i="3" s="1"/>
  <c r="D147" i="3"/>
  <c r="D148" i="3" s="1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F126" i="3"/>
  <c r="F125" i="3"/>
  <c r="D121" i="3"/>
  <c r="D120" i="3"/>
  <c r="D119" i="3"/>
  <c r="D118" i="3"/>
  <c r="D117" i="3"/>
  <c r="F116" i="3"/>
  <c r="D115" i="3"/>
  <c r="D114" i="3"/>
  <c r="D113" i="3"/>
  <c r="F112" i="3"/>
  <c r="F111" i="3"/>
  <c r="D110" i="3"/>
  <c r="F109" i="3"/>
  <c r="D108" i="3"/>
  <c r="D107" i="3"/>
  <c r="F106" i="3"/>
  <c r="D105" i="3"/>
  <c r="F104" i="3"/>
  <c r="F103" i="3"/>
  <c r="D102" i="3"/>
  <c r="D98" i="3"/>
  <c r="D99" i="3" s="1"/>
  <c r="F97" i="3"/>
  <c r="F96" i="3"/>
  <c r="F99" i="3" s="1"/>
  <c r="D92" i="3"/>
  <c r="D91" i="3"/>
  <c r="D87" i="3"/>
  <c r="D85" i="3"/>
  <c r="D81" i="3"/>
  <c r="D80" i="3"/>
  <c r="D79" i="3"/>
  <c r="D75" i="3"/>
  <c r="D76" i="3" s="1"/>
  <c r="D70" i="3"/>
  <c r="D71" i="3" s="1"/>
  <c r="F69" i="3"/>
  <c r="F71" i="3" s="1"/>
  <c r="D65" i="3"/>
  <c r="D66" i="3" s="1"/>
  <c r="D61" i="3"/>
  <c r="D62" i="3" s="1"/>
  <c r="D57" i="3"/>
  <c r="F56" i="3"/>
  <c r="D55" i="3"/>
  <c r="F54" i="3"/>
  <c r="F50" i="3"/>
  <c r="F51" i="3" s="1"/>
  <c r="D46" i="3"/>
  <c r="D47" i="3" s="1"/>
  <c r="D42" i="3"/>
  <c r="D43" i="3" s="1"/>
  <c r="F41" i="3"/>
  <c r="F43" i="3" s="1"/>
  <c r="D37" i="3"/>
  <c r="D38" i="3" s="1"/>
  <c r="F36" i="3"/>
  <c r="F38" i="3" s="1"/>
  <c r="D32" i="3"/>
  <c r="D33" i="3" s="1"/>
  <c r="F31" i="3"/>
  <c r="F30" i="3"/>
  <c r="D26" i="3"/>
  <c r="D27" i="3" s="1"/>
  <c r="E23" i="3"/>
  <c r="D22" i="3"/>
  <c r="D21" i="3"/>
  <c r="D20" i="3"/>
  <c r="F19" i="3"/>
  <c r="F18" i="3"/>
  <c r="F17" i="3"/>
  <c r="F16" i="3"/>
  <c r="D15" i="3"/>
  <c r="D14" i="3"/>
  <c r="D13" i="3"/>
  <c r="D163" i="3" l="1"/>
  <c r="F200" i="3"/>
  <c r="D93" i="3"/>
  <c r="D190" i="3"/>
  <c r="D88" i="3"/>
  <c r="F23" i="3"/>
  <c r="D58" i="3"/>
  <c r="F33" i="3"/>
  <c r="D122" i="3"/>
  <c r="F127" i="3"/>
  <c r="D158" i="3"/>
  <c r="F165" i="3"/>
  <c r="D221" i="3"/>
  <c r="D261" i="3"/>
  <c r="F274" i="3"/>
  <c r="D181" i="3"/>
  <c r="D211" i="3"/>
  <c r="D144" i="3"/>
  <c r="D23" i="3"/>
  <c r="F58" i="3"/>
  <c r="D82" i="3"/>
  <c r="F233" i="3"/>
  <c r="F122" i="3"/>
  <c r="F73" i="3" s="1"/>
  <c r="D200" i="3"/>
  <c r="D165" i="3" s="1"/>
  <c r="D248" i="3"/>
  <c r="F223" i="3" l="1"/>
  <c r="D73" i="3"/>
  <c r="D223" i="3"/>
</calcChain>
</file>

<file path=xl/sharedStrings.xml><?xml version="1.0" encoding="utf-8"?>
<sst xmlns="http://schemas.openxmlformats.org/spreadsheetml/2006/main" count="373" uniqueCount="195">
  <si>
    <t>Project Name</t>
  </si>
  <si>
    <t>New Zealand</t>
  </si>
  <si>
    <t>Australia</t>
  </si>
  <si>
    <t>Bangladesh</t>
  </si>
  <si>
    <t>India</t>
  </si>
  <si>
    <t>Nepal</t>
  </si>
  <si>
    <t>Indonesia</t>
  </si>
  <si>
    <t>Philippines</t>
  </si>
  <si>
    <t>TOTAL</t>
  </si>
  <si>
    <t>Pakistan</t>
  </si>
  <si>
    <t>Global Environment Facility</t>
  </si>
  <si>
    <t>Regional</t>
  </si>
  <si>
    <t>Source of Cofinancing</t>
  </si>
  <si>
    <t>Technical Assistance</t>
  </si>
  <si>
    <t>Project Component</t>
  </si>
  <si>
    <t>World Bank</t>
  </si>
  <si>
    <t xml:space="preserve">Amount </t>
  </si>
  <si>
    <t>Mongolia</t>
  </si>
  <si>
    <t>Netherlands Trust Fund under the Water Financing Partnership Facility</t>
  </si>
  <si>
    <t>United States</t>
  </si>
  <si>
    <t>($’000)</t>
  </si>
  <si>
    <t>Subtotal</t>
  </si>
  <si>
    <t>Uzbekistan</t>
  </si>
  <si>
    <t>Sri Lanka</t>
  </si>
  <si>
    <t>Papua New Guinea</t>
  </si>
  <si>
    <t>Republic of Korea e-Asia and Knowledge Partnership Fund</t>
  </si>
  <si>
    <t>BILATERALS, Project Specific</t>
  </si>
  <si>
    <t>Austria</t>
  </si>
  <si>
    <t>Bhutan</t>
  </si>
  <si>
    <t>Armenia</t>
  </si>
  <si>
    <t>Canada</t>
  </si>
  <si>
    <t>Accelerating Innovation in Transport (Supplementary)</t>
  </si>
  <si>
    <t>Strategic Climate Fund</t>
  </si>
  <si>
    <t>Accelerating the Clean Energy Transition in Southeast Asia 
   (Supplementary)</t>
  </si>
  <si>
    <t>Implementing the Cities Development Initiative for Asia 
   (Supplementary)</t>
  </si>
  <si>
    <t>Strengthening Capacity to Design and Implement Water 
   and Rural Infrastructure Facility (Supplementary)</t>
  </si>
  <si>
    <t>Solomon Islands</t>
  </si>
  <si>
    <t>Viet Nam</t>
  </si>
  <si>
    <t>Note: Numbers may not sum precisely because of rounding.</t>
  </si>
  <si>
    <t>Fiji</t>
  </si>
  <si>
    <t>Thailand</t>
  </si>
  <si>
    <t>Supporting the School Education Sector Plan</t>
  </si>
  <si>
    <t>Netherlands</t>
  </si>
  <si>
    <t>TRUST FUNDS, Single Partner</t>
  </si>
  <si>
    <t>Vanuatu</t>
  </si>
  <si>
    <t>Southeast Asia Facility for Resilient Cities (Supplementary)</t>
  </si>
  <si>
    <t>Japan Fund for Prosperous and Resilient Asia and the Pacific</t>
  </si>
  <si>
    <t>Japan Fund for the Joint Crediting Mechanism</t>
  </si>
  <si>
    <t>Georgia</t>
  </si>
  <si>
    <t>Kazakhstan</t>
  </si>
  <si>
    <t>Clean Energy Fund under the Clean Energy Financing Partnership Facility</t>
  </si>
  <si>
    <t>Clean Technology Fund</t>
  </si>
  <si>
    <t>European Union</t>
  </si>
  <si>
    <t>Global Agriculture and Food Security Program</t>
  </si>
  <si>
    <t>Nuts and Fruits in Hilly Areas</t>
  </si>
  <si>
    <t>Kiribati</t>
  </si>
  <si>
    <t>Green Climate Fund</t>
  </si>
  <si>
    <t>Strengthening Cooperation on Disaster Risk Management 
   within the Association of Southeast Asian Nations 
   (Supplementary)</t>
  </si>
  <si>
    <t>Supporting Technical Education and Skills Development 
   Facility (Supplementary)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</si>
  <si>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project-specific cofinancing from multilateral organizations, including global funds.</t>
    </r>
  </si>
  <si>
    <r>
      <t>MULTILATERALS</t>
    </r>
    <r>
      <rPr>
        <vertAlign val="superscript"/>
        <sz val="9"/>
        <rFont val="Arial"/>
        <family val="2"/>
      </rPr>
      <t>a</t>
    </r>
  </si>
  <si>
    <t>Projects Involving Sovereign Grant Cofinancing, 2023</t>
  </si>
  <si>
    <t>Tonga</t>
  </si>
  <si>
    <t>Tuvalu</t>
  </si>
  <si>
    <t>Pathways for Emerging Skills and Jobs</t>
  </si>
  <si>
    <t>Myanmar</t>
  </si>
  <si>
    <t>Providing Essential Services to the People of Myanmar</t>
  </si>
  <si>
    <t>France</t>
  </si>
  <si>
    <t>Climate Smart Irrigation Sector Development Program</t>
  </si>
  <si>
    <t>Supporting Long-Term Planning for Climate Action</t>
  </si>
  <si>
    <t>Germany</t>
  </si>
  <si>
    <t>Japan</t>
  </si>
  <si>
    <t>Nauru</t>
  </si>
  <si>
    <t>Supporting the Improving Fiscal Sustainability Program</t>
  </si>
  <si>
    <t>Interisland Shipping Support</t>
  </si>
  <si>
    <t>Switzerland</t>
  </si>
  <si>
    <t>Expanding Inclusive and Climate Finance</t>
  </si>
  <si>
    <t>United Kingdom</t>
  </si>
  <si>
    <t>People's Republic of China Poverty Reduction and Regional Cooperation Fund</t>
  </si>
  <si>
    <t>Strengthening the Regional Knowledge Sharing Initiative</t>
  </si>
  <si>
    <t>Power Sector Reform Support Program (Supplementary)</t>
  </si>
  <si>
    <t>Senior Secondary Education Improvement</t>
  </si>
  <si>
    <t>Rural Electrification Support</t>
  </si>
  <si>
    <t>Uttarakhand Climate Resilient Power System Development</t>
  </si>
  <si>
    <t>Khyber Pakhtunkhwa Food Security Support</t>
  </si>
  <si>
    <t>Preparing the Sindh Coastal Resilience Sector</t>
  </si>
  <si>
    <t>Promoting Private Sector Investment in Energy Transition</t>
  </si>
  <si>
    <t>Integrated Aged Care</t>
  </si>
  <si>
    <t>Maldives</t>
  </si>
  <si>
    <t>Smart Water Utility Management in Punjab</t>
  </si>
  <si>
    <t>Project Preparation and Implementation Support Trust Fund</t>
  </si>
  <si>
    <t>Azerbaijan</t>
  </si>
  <si>
    <t>Spanish Cooperation Fund for Technical Assistance</t>
  </si>
  <si>
    <t>Smart and Livable Cities in Southeast Asia (Supplementary)</t>
  </si>
  <si>
    <t>United Kingdom–ASEAN Catalytic Green Finance Facility Trust Fund</t>
  </si>
  <si>
    <t>Asia-Pacific Climate Finance Fund</t>
  </si>
  <si>
    <t>Preparing the Energy Sector Projects (Supplementary)</t>
  </si>
  <si>
    <t>High-Level Technology Fund</t>
  </si>
  <si>
    <t>Integrated Urban Development</t>
  </si>
  <si>
    <t>Urban Resilience Trust Fund under the Urban Financing Partnership Facility</t>
  </si>
  <si>
    <t>Water Innovation Trust Fund under the Water Financing Partnership Facility</t>
  </si>
  <si>
    <t>Water Resilience Trust Fund under the Water Financing Partnership Facility</t>
  </si>
  <si>
    <t>Promoting Climate-Smart Infrastructure</t>
  </si>
  <si>
    <t>International Fund for Agricultural Development</t>
  </si>
  <si>
    <t xml:space="preserve">OPEC Fund for International Development </t>
  </si>
  <si>
    <t>Women Entrepreneurs Finance Initiative</t>
  </si>
  <si>
    <t>World Food Programme</t>
  </si>
  <si>
    <t>Education Above All Foundation</t>
  </si>
  <si>
    <t>Korea Energy Agency</t>
  </si>
  <si>
    <t>Nuku’alofa Port Upgrade—Additional Financing</t>
  </si>
  <si>
    <t>Outer Island Maritime Infrastructure—Additional Financing</t>
  </si>
  <si>
    <t>Power Sector Reform Program—Subprogram 1</t>
  </si>
  <si>
    <t>Emergency Flood Assistance—Additional Financing</t>
  </si>
  <si>
    <t>Geothermal Power Generation—Additional Financing</t>
  </si>
  <si>
    <t>Integrated Flood Resilience and Adaptation—Phase 1</t>
  </si>
  <si>
    <t>Sustainable Infrastructure Assistance Program Phase II—
   Capacity Development of Ministry of Transportation in 
   Project Preparation and Implementation (Subproject 5) 
   (Supplementary)</t>
  </si>
  <si>
    <t>Sustainable Infrastructure Assistance Program Phase II—
   Support to the Preparation of Citywide Inclusive Sanitation 
   (Subproject 9)</t>
  </si>
  <si>
    <t>Sustainable Infrastructure Assistance Program Phase II—
   Supporting State-Owned Enterprises’ Reform Program,  
   Subprogram 2 (Subproject 10)</t>
  </si>
  <si>
    <t>Sustainable and Inclusive Economic Recovery Program—
   Subprogram 1</t>
  </si>
  <si>
    <t>Pacific Private Sector Development Initiative, Phase IV 
   (Supplementary)</t>
  </si>
  <si>
    <t>Establishing a Support Facility for Article 6 of the 
   Paris Agreement (Supplementary)</t>
  </si>
  <si>
    <t>Green and Resilient Rural Recovery through Agri-Food 
   System Transformation in the Asia and Pacific Region 
   (Supplementary)</t>
  </si>
  <si>
    <t>Climate and Disaster Resilient Small-Scale Water Resources 
   Management</t>
  </si>
  <si>
    <t>Pacific Region Infrastructure Facility Coordination Office—
   For Quality, Climate, and Socioeconomic Resilient 
   Infrastructure</t>
  </si>
  <si>
    <t>Greater Mekong Subregion Climate Change and 
   Environmental Sustainability Program</t>
  </si>
  <si>
    <t>Strengthening Ecosystem for Sustainable Finance 
   in ASEAN+3</t>
  </si>
  <si>
    <t>Food Voucher Program to Reduce Food Insecurity 
   and Malnutrition</t>
  </si>
  <si>
    <t>Supporting Education and Health Sector Programs Facility 
   (Supplementary)</t>
  </si>
  <si>
    <t>Building Capacity for Low-Carbon Power Infrastructure 
   Development</t>
  </si>
  <si>
    <t>Preparing Investment Program for Clean and 
   Sustainable Energy</t>
  </si>
  <si>
    <t>Increasing Access to Renewable Energy—
   Additional Financing under PREIF</t>
  </si>
  <si>
    <t>Strengthening Resilient and Sustainable Urban and 
   Water Service Delivery in the Pacific</t>
  </si>
  <si>
    <t>Supporting the Improving Urban Governance and 
   Infrastructure Program</t>
  </si>
  <si>
    <t>Supporting India’s Energy Transition Through Carbon 
   Capture, Utilization and Storage and Low-Carbon 
   Technologies</t>
  </si>
  <si>
    <t>Institutional and Capacity Building Support for the 
   Just Energy Transition Partnership Secretariat</t>
  </si>
  <si>
    <t>Strengthening Food Security Post-COVID-19 and 
   Global Food and Fertilizer Price Crises</t>
  </si>
  <si>
    <t>Enhanced Policy and Program Implementation in 
   School Education (Supplementary)</t>
  </si>
  <si>
    <t>Accessible Assistive Technology for Promoting Health, 
   Well-being, and Gender Equality in South Asia</t>
  </si>
  <si>
    <t>Strengthening Domestic Resource Mobilization Policy 
   and Capacity in Southeast Asia</t>
  </si>
  <si>
    <t>Strengthening Integrated Primary Health Care Management 
   of Noncommunicable Diseases</t>
  </si>
  <si>
    <t>Strengthening Multisector Technical Capacity to Respond 
   to COVID-19 in Asia and the Pacific through Tourism</t>
  </si>
  <si>
    <t>Accelerating Sustainable System Development Using 
   Renewable Energy</t>
  </si>
  <si>
    <t>Promoting Energy Transition, Safety and Energy Efficiency 
   in the Energy Sector</t>
  </si>
  <si>
    <t>Supporting the Climate Change Agenda through 
   Advanced Statistics</t>
  </si>
  <si>
    <t>Accelerating Climate Transitions through Green Finance 
   in Southeast Asia (Supplementary)</t>
  </si>
  <si>
    <t>Achieving Climate Change Objectives through Public 
   Financial Management Reforms</t>
  </si>
  <si>
    <t>Asia's Financial Safety Net, Resolution Mechanisms, 
   and Financial Integration and Resilience</t>
  </si>
  <si>
    <t>Facilitating Knowledge for Innovation and Technology 
   Cooperation to Accelerate Development (Supplementary)</t>
  </si>
  <si>
    <t>Promoting Cross-Border Financial Transactions in 
   ASEAN+3 Region: Support to Cross-Border Settlement 
   Infrastructure Forum under the Asian Bond Markets</t>
  </si>
  <si>
    <t>Strengthening Food Security Post-COVID-19 and 
   Locust Attacks (Supplementary)</t>
  </si>
  <si>
    <t>Preparing the Modernizing Vocational Education and 
   Training for Economic Diversification Sector Development 
   Program (Supplementary)</t>
  </si>
  <si>
    <t>South Asia Subregional Economic Cooperation Electricity 
   Transmission and Distribution Strengthening</t>
  </si>
  <si>
    <t>Preparing Integrated Solutions for Livable Cities 
   (Supplementary)</t>
  </si>
  <si>
    <t>Supporting Development of Innovative Green Housing 
   Finance (Supplementary)</t>
  </si>
  <si>
    <t>Supporting Power Market Reforms for Renewable 
   Energy Integration</t>
  </si>
  <si>
    <t>Artificial Intelligence-Powered Microgrids to Enable Futuristic 
   and Reliable Distributed Renewable Energy System</t>
  </si>
  <si>
    <t>Advancing Gender Equality and Social Inclusion in 
   South Asia Operations</t>
  </si>
  <si>
    <t>Promoting Energy Transition through Regional Cooperation 
   and Integration in South Asia</t>
  </si>
  <si>
    <t>Operationalizing the Community Resilience Partnership 
   Program</t>
  </si>
  <si>
    <t>Promoting Smart and Integrated Urban Planning 
   for Livability and Cultural Economy in Rajasthan 
   (Supplementary)</t>
  </si>
  <si>
    <t>Strengthening Capacity on Disaster Risk Assessment, 
   Reduction, and Transfer Instruments in Mongolia</t>
  </si>
  <si>
    <t>Digital Twin Capabilities in Project Management 
   (Supplementary)</t>
  </si>
  <si>
    <t>Supporting Enhanced COVID-19 Vaccination and 
   Post-COVID-19 Health Security Response in 
   Southeast Asia (Supplementary)</t>
  </si>
  <si>
    <t>Strengthening Transit-Oriented Development for 
   Urban Transformation in Indian Cities</t>
  </si>
  <si>
    <t>Integrated and Innovative Solutions for More Livable Cities 
   (Supplementary)</t>
  </si>
  <si>
    <t>Supporting the Integration of Urban Climate Resilience 
   in ADB Operations</t>
  </si>
  <si>
    <t>Improving Infrastructure Sustainability Through Better 
   Asset Management (Supplementary)</t>
  </si>
  <si>
    <t>Achieving Water Sector Priorities in Asia and the Pacific 
   under Strategy 2030 (Supplementary)</t>
  </si>
  <si>
    <t xml:space="preserve">Sustainable Rural Infrastructure and Watershed Management 
   Sector—Additional Financing </t>
  </si>
  <si>
    <t xml:space="preserve">Enhancing Environmental Sustainability through Inclusive, 
   Integrated Solutions (formerly Mainstreaming Circular 
   Economy Approaches for Sustainable Development) </t>
  </si>
  <si>
    <t>Road Transport Project Implementation Support and 
   Institutional Strengthening</t>
  </si>
  <si>
    <t>Digital Solutions to Improve Agricultural Value Chains 
   (Supplementary)</t>
  </si>
  <si>
    <t>Strengthening the Bio-Circular-Green Economy 
   (Supplementary)</t>
  </si>
  <si>
    <r>
      <t>Strengthening Environmental Resilience and Fostering 
   Sustainable Economy for Lake Sevan</t>
    </r>
    <r>
      <rPr>
        <vertAlign val="superscript"/>
        <sz val="9"/>
        <color theme="1"/>
        <rFont val="Arial"/>
        <family val="2"/>
      </rPr>
      <t>b</t>
    </r>
  </si>
  <si>
    <r>
      <t>Supporting Energy-Saving Regulation and Energy Efficiency 
   Investments in Mongolia</t>
    </r>
    <r>
      <rPr>
        <vertAlign val="superscript"/>
        <sz val="9"/>
        <color theme="1"/>
        <rFont val="Arial"/>
        <family val="2"/>
      </rPr>
      <t>c</t>
    </r>
  </si>
  <si>
    <t>Enhancing Small and Medium-Sized Enterprises Financial 
   Services Outreach (Supplementary)</t>
  </si>
  <si>
    <t xml:space="preserve">Supporting Fourth Primary Education Development 
   Program—Additional Financing </t>
  </si>
  <si>
    <t>Integrated High Impact Innovation in Sustainable Energy 
   Technology—Energy System Analysis, Technology Road 
   Maps and Feasibility Studies for Pilot Testing 
   (Subproject 1) (Supplementary)</t>
  </si>
  <si>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>Under the Forest Investment Program.</t>
    </r>
  </si>
  <si>
    <r>
      <rPr>
        <vertAlign val="superscript"/>
        <sz val="8"/>
        <rFont val="Arial"/>
        <family val="2"/>
      </rPr>
      <t xml:space="preserve">d  </t>
    </r>
    <r>
      <rPr>
        <sz val="8"/>
        <rFont val="Arial"/>
        <family val="2"/>
      </rPr>
      <t>Includes concessional cofinancing for sovereign operations from public and private entities (including state-owned commercial banks, foundations, 
   corporate social responsibility programs, civil society organizations) other than from official development assistance sources.</t>
    </r>
  </si>
  <si>
    <r>
      <t>OTHERS</t>
    </r>
    <r>
      <rPr>
        <vertAlign val="superscript"/>
        <sz val="9"/>
        <rFont val="Arial"/>
        <family val="2"/>
      </rPr>
      <t>d</t>
    </r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</si>
  <si>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Under the Pilot Program for Climate Resilience.</t>
    </r>
  </si>
  <si>
    <t>Cities Development Initiative for Asia Trust Fund under the Urban Financing 
   Partnership Facility</t>
  </si>
  <si>
    <t>ASEAN Australia Smart Cities Trust Fund under the Urban Financing 
   Partnership Facility</t>
  </si>
  <si>
    <t>France - Cooperation Fund for Project Preparation in the Greater Mekong Subregion 
   and in Other Specific Asian Countries</t>
  </si>
  <si>
    <t>Ocean Resilience and Coastal Adaptation Trust Fund under the Ocean Resilience 
   and Coastal Adaptation Financing Partnership Facility</t>
  </si>
  <si>
    <t>GEAPP Energy Access and Transition Trust Fund under the Innovative Finance Facility 
   for Climate in Asia and the Pacific Financing Partnership Facility</t>
  </si>
  <si>
    <t xml:space="preserve">Ireland Trust Fund for Building Climate Change and Disaster Resilience in
   Small Island Developing States </t>
  </si>
  <si>
    <t>Strengthening Resilience and Stability of Banking and 
   Nonbank Financial Systems in Asia (Supplementary)</t>
  </si>
  <si>
    <t>TRUST FUNDS, Multipartner</t>
  </si>
  <si>
    <t>Community Resilience Partnership Program Trust Fund under the Community 
   Resilience Financing Partnership Facility</t>
  </si>
  <si>
    <t>Energy Transition Mechanism Partnership Trust Fund under the Clean Energy 
   Financing Partnership Facility</t>
  </si>
  <si>
    <t>Lao PDR</t>
  </si>
  <si>
    <t>ADB = Asian Development Bank, ASEAN = Association of Southeast Asian Nations, ASEAN+3 = ASEAN, Japan, the People's Republic of China, and the Republic of Korea, COVID-19 = coronavirus disease, GEAPP = Global Energy Alliance for People and Planet, Lao PDR = Lao Perople's Democratic Republic, OPEC = Organization of the Petroleum Exporting Countries, 
PREIF = Pacific Renewable Energy Investment Facility.</t>
  </si>
  <si>
    <t>Health Services Sector Development Program, Subprogram 1—
   Additional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</si>
</sst>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44" fontId="10" fillId="0" borderId="0" xfId="2" applyFont="1"/>
    <xf numFmtId="4" fontId="6" fillId="0" borderId="0" xfId="1" applyNumberFormat="1" applyFont="1"/>
    <xf numFmtId="4" fontId="6" fillId="0" borderId="0" xfId="0" applyNumberFormat="1" applyFont="1"/>
    <xf numFmtId="0" fontId="13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 wrapText="1"/>
    </xf>
    <xf numFmtId="43" fontId="13" fillId="2" borderId="0" xfId="1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43" fontId="5" fillId="2" borderId="0" xfId="1" applyFont="1" applyFill="1" applyAlignment="1">
      <alignment vertical="top"/>
    </xf>
    <xf numFmtId="43" fontId="6" fillId="2" borderId="0" xfId="1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vertical="top"/>
    </xf>
    <xf numFmtId="0" fontId="5" fillId="2" borderId="0" xfId="184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43" fontId="5" fillId="2" borderId="0" xfId="1" applyFont="1" applyFill="1" applyBorder="1" applyAlignment="1">
      <alignment vertical="top"/>
    </xf>
    <xf numFmtId="43" fontId="5" fillId="2" borderId="2" xfId="1" applyFont="1" applyFill="1" applyBorder="1" applyAlignment="1">
      <alignment vertical="top"/>
    </xf>
    <xf numFmtId="0" fontId="9" fillId="0" borderId="2" xfId="2" applyNumberFormat="1" applyFont="1" applyBorder="1" applyAlignment="1">
      <alignment horizontal="center" wrapText="1"/>
    </xf>
    <xf numFmtId="0" fontId="15" fillId="2" borderId="0" xfId="0" applyFont="1" applyFill="1" applyAlignment="1">
      <alignment vertical="top"/>
    </xf>
    <xf numFmtId="0" fontId="13" fillId="2" borderId="0" xfId="0" applyFont="1" applyFill="1" applyAlignment="1">
      <alignment vertical="top" wrapText="1"/>
    </xf>
    <xf numFmtId="43" fontId="13" fillId="2" borderId="0" xfId="1" applyFont="1" applyFill="1" applyAlignment="1">
      <alignment vertical="top"/>
    </xf>
    <xf numFmtId="0" fontId="13" fillId="2" borderId="0" xfId="0" applyFont="1" applyFill="1" applyAlignment="1">
      <alignment vertical="top"/>
    </xf>
    <xf numFmtId="43" fontId="13" fillId="2" borderId="2" xfId="1" applyFont="1" applyFill="1" applyBorder="1" applyAlignment="1">
      <alignment vertical="top"/>
    </xf>
    <xf numFmtId="0" fontId="13" fillId="2" borderId="0" xfId="0" applyFont="1" applyFill="1" applyAlignment="1">
      <alignment horizontal="left" vertical="top" wrapText="1"/>
    </xf>
    <xf numFmtId="43" fontId="13" fillId="2" borderId="0" xfId="0" applyNumberFormat="1" applyFont="1" applyFill="1" applyAlignment="1">
      <alignment vertical="top"/>
    </xf>
    <xf numFmtId="0" fontId="13" fillId="2" borderId="0" xfId="184" applyFont="1" applyFill="1" applyAlignment="1">
      <alignment vertical="top"/>
    </xf>
    <xf numFmtId="0" fontId="13" fillId="2" borderId="0" xfId="184" applyFont="1" applyFill="1" applyAlignment="1">
      <alignment vertical="top" wrapText="1"/>
    </xf>
    <xf numFmtId="0" fontId="5" fillId="2" borderId="2" xfId="0" applyFont="1" applyFill="1" applyBorder="1" applyAlignment="1">
      <alignment vertical="top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4" fontId="17" fillId="0" borderId="0" xfId="1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4" fontId="6" fillId="0" borderId="0" xfId="2" applyFont="1"/>
    <xf numFmtId="0" fontId="20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vertical="top"/>
    </xf>
    <xf numFmtId="43" fontId="21" fillId="2" borderId="0" xfId="1" applyFont="1" applyFill="1" applyAlignment="1">
      <alignment vertical="top"/>
    </xf>
    <xf numFmtId="0" fontId="6" fillId="2" borderId="0" xfId="184" applyFont="1" applyFill="1" applyAlignment="1">
      <alignment vertical="top" wrapText="1"/>
    </xf>
    <xf numFmtId="0" fontId="20" fillId="2" borderId="0" xfId="184" applyFont="1" applyFill="1" applyAlignment="1">
      <alignment vertical="top"/>
    </xf>
    <xf numFmtId="0" fontId="22" fillId="2" borderId="0" xfId="0" applyFont="1" applyFill="1" applyAlignment="1">
      <alignment vertical="top"/>
    </xf>
    <xf numFmtId="43" fontId="6" fillId="2" borderId="2" xfId="1" applyFont="1" applyFill="1" applyBorder="1" applyAlignment="1">
      <alignment vertical="top"/>
    </xf>
    <xf numFmtId="0" fontId="21" fillId="2" borderId="0" xfId="0" applyFont="1" applyFill="1" applyAlignment="1">
      <alignment vertical="top" wrapText="1"/>
    </xf>
    <xf numFmtId="0" fontId="20" fillId="2" borderId="0" xfId="0" applyFont="1" applyFill="1" applyAlignment="1">
      <alignment horizontal="center" vertical="top" wrapText="1"/>
    </xf>
    <xf numFmtId="43" fontId="21" fillId="2" borderId="0" xfId="1" applyFont="1" applyFill="1" applyBorder="1" applyAlignment="1">
      <alignment vertical="top"/>
    </xf>
    <xf numFmtId="0" fontId="17" fillId="2" borderId="0" xfId="0" applyFont="1" applyFill="1" applyAlignment="1">
      <alignment horizontal="left" vertical="center" wrapText="1"/>
    </xf>
    <xf numFmtId="44" fontId="9" fillId="0" borderId="1" xfId="2" applyFont="1" applyBorder="1" applyAlignment="1">
      <alignment horizontal="center" wrapText="1"/>
    </xf>
    <xf numFmtId="44" fontId="9" fillId="0" borderId="3" xfId="2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" xfId="2" applyNumberFormat="1" applyFont="1" applyBorder="1" applyAlignment="1">
      <alignment horizontal="left" wrapText="1"/>
    </xf>
    <xf numFmtId="0" fontId="9" fillId="0" borderId="3" xfId="2" applyNumberFormat="1" applyFont="1" applyBorder="1" applyAlignment="1">
      <alignment horizontal="left" wrapText="1"/>
    </xf>
    <xf numFmtId="0" fontId="5" fillId="2" borderId="0" xfId="184" applyFont="1" applyFill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</cellXfs>
  <cellStyles count="186">
    <cellStyle name="Comma" xfId="1" builtinId="3"/>
    <cellStyle name="Comma 3" xfId="180" xr:uid="{00000000-0005-0000-0000-000001000000}"/>
    <cellStyle name="Comma 5" xfId="183" xr:uid="{00000000-0005-0000-0000-000002000000}"/>
    <cellStyle name="Currency" xfId="2" builtinId="4"/>
    <cellStyle name="Currency 3" xfId="185" xr:uid="{00000000-0005-0000-0000-000004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Normal 2" xfId="182" xr:uid="{00000000-0005-0000-0000-0000B6000000}"/>
    <cellStyle name="Normal 3" xfId="179" xr:uid="{00000000-0005-0000-0000-0000B7000000}"/>
    <cellStyle name="Normal 3 4" xfId="184" xr:uid="{00000000-0005-0000-0000-0000B8000000}"/>
    <cellStyle name="Normal 4" xfId="181" xr:uid="{00000000-0005-0000-0000-0000B9000000}"/>
  </cellStyles>
  <dxfs count="0"/>
  <tableStyles count="0" defaultTableStyle="TableStyleMedium9" defaultPivotStyle="PivotStyleLight16"/>
  <colors>
    <mruColors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289074</xdr:colOff>
      <xdr:row>0</xdr:row>
      <xdr:rowOff>28021</xdr:rowOff>
    </xdr:from>
    <xdr:to>
      <xdr:col>3</xdr:col>
      <xdr:colOff>64533</xdr:colOff>
      <xdr:row>5</xdr:row>
      <xdr:rowOff>40317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58" y="28021"/>
          <a:ext cx="4452285" cy="7178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27217</xdr:colOff>
      <xdr:row>0</xdr:row>
      <xdr:rowOff>50259</xdr:rowOff>
    </xdr:from>
    <xdr:to>
      <xdr:col>1</xdr:col>
      <xdr:colOff>204874</xdr:colOff>
      <xdr:row>3</xdr:row>
      <xdr:rowOff>113030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50259"/>
          <a:ext cx="395371" cy="5118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293"/>
  <sheetViews>
    <sheetView tabSelected="1" zoomScale="140" zoomScaleNormal="140" zoomScalePageLayoutView="118" workbookViewId="0">
      <selection activeCell="G253" sqref="G253"/>
    </sheetView>
  </sheetViews>
  <sheetFormatPr defaultColWidth="8.85546875" defaultRowHeight="12" x14ac:dyDescent="0.2"/>
  <cols>
    <col min="1" max="1" width="3.28515625" style="2" customWidth="1"/>
    <col min="2" max="2" width="15.85546875" style="3" customWidth="1"/>
    <col min="3" max="3" width="51.42578125" style="3" customWidth="1"/>
    <col min="4" max="4" width="12.28515625" style="8" customWidth="1"/>
    <col min="5" max="5" width="1.85546875" style="9" customWidth="1"/>
    <col min="6" max="6" width="12.28515625" style="9" customWidth="1"/>
    <col min="7" max="16384" width="8.85546875" style="2"/>
  </cols>
  <sheetData>
    <row r="4" spans="1:6" x14ac:dyDescent="0.2">
      <c r="A4" s="1"/>
    </row>
    <row r="5" spans="1:6" x14ac:dyDescent="0.2">
      <c r="A5" s="1"/>
    </row>
    <row r="6" spans="1:6" x14ac:dyDescent="0.2">
      <c r="A6" s="1"/>
    </row>
    <row r="7" spans="1:6" x14ac:dyDescent="0.2">
      <c r="A7" s="4" t="s">
        <v>61</v>
      </c>
    </row>
    <row r="8" spans="1:6" x14ac:dyDescent="0.2">
      <c r="A8" s="5" t="s">
        <v>20</v>
      </c>
    </row>
    <row r="9" spans="1:6" s="6" customFormat="1" x14ac:dyDescent="0.2">
      <c r="A9" s="56" t="s">
        <v>12</v>
      </c>
      <c r="B9" s="56"/>
      <c r="C9" s="53" t="s">
        <v>0</v>
      </c>
      <c r="D9" s="55" t="s">
        <v>16</v>
      </c>
      <c r="E9" s="55"/>
      <c r="F9" s="55"/>
    </row>
    <row r="10" spans="1:6" s="7" customFormat="1" ht="24" x14ac:dyDescent="0.2">
      <c r="A10" s="57"/>
      <c r="B10" s="57"/>
      <c r="C10" s="54"/>
      <c r="D10" s="24" t="s">
        <v>13</v>
      </c>
      <c r="E10" s="24"/>
      <c r="F10" s="24" t="s">
        <v>14</v>
      </c>
    </row>
    <row r="11" spans="1:6" s="40" customFormat="1" x14ac:dyDescent="0.2">
      <c r="A11" s="13" t="s">
        <v>26</v>
      </c>
      <c r="B11" s="14"/>
      <c r="C11" s="15"/>
      <c r="D11" s="16">
        <v>20026.356460000003</v>
      </c>
      <c r="E11" s="16"/>
      <c r="F11" s="16">
        <v>108222.76595999999</v>
      </c>
    </row>
    <row r="12" spans="1:6" s="40" customFormat="1" x14ac:dyDescent="0.2">
      <c r="A12" s="13" t="s">
        <v>2</v>
      </c>
      <c r="B12" s="14"/>
      <c r="C12" s="15"/>
      <c r="D12" s="17"/>
      <c r="E12" s="14"/>
      <c r="F12" s="17"/>
    </row>
    <row r="13" spans="1:6" s="14" customFormat="1" ht="48" x14ac:dyDescent="0.25">
      <c r="A13" s="13"/>
      <c r="B13" s="15" t="s">
        <v>6</v>
      </c>
      <c r="C13" s="15" t="s">
        <v>115</v>
      </c>
      <c r="D13" s="17">
        <f>0.5*1000</f>
        <v>500</v>
      </c>
      <c r="F13" s="17"/>
    </row>
    <row r="14" spans="1:6" s="14" customFormat="1" ht="36" x14ac:dyDescent="0.25">
      <c r="A14" s="13"/>
      <c r="B14" s="15" t="s">
        <v>6</v>
      </c>
      <c r="C14" s="15" t="s">
        <v>116</v>
      </c>
      <c r="D14" s="17">
        <f>0.5*1000</f>
        <v>500</v>
      </c>
      <c r="F14" s="17"/>
    </row>
    <row r="15" spans="1:6" s="14" customFormat="1" ht="36" x14ac:dyDescent="0.25">
      <c r="A15" s="13"/>
      <c r="B15" s="15" t="s">
        <v>6</v>
      </c>
      <c r="C15" s="15" t="s">
        <v>117</v>
      </c>
      <c r="D15" s="17">
        <f>0.5*1000</f>
        <v>500</v>
      </c>
      <c r="F15" s="17"/>
    </row>
    <row r="16" spans="1:6" s="14" customFormat="1" ht="24" x14ac:dyDescent="0.25">
      <c r="A16" s="13"/>
      <c r="B16" s="15" t="s">
        <v>55</v>
      </c>
      <c r="C16" s="15" t="s">
        <v>118</v>
      </c>
      <c r="D16" s="17"/>
      <c r="F16" s="17">
        <f>2.71839962*1000</f>
        <v>2718.3996200000001</v>
      </c>
    </row>
    <row r="17" spans="1:6" s="14" customFormat="1" ht="24" x14ac:dyDescent="0.25">
      <c r="A17" s="13"/>
      <c r="B17" s="15" t="s">
        <v>24</v>
      </c>
      <c r="C17" s="15" t="s">
        <v>194</v>
      </c>
      <c r="D17" s="17"/>
      <c r="F17" s="17">
        <f>21.6*1000</f>
        <v>21600</v>
      </c>
    </row>
    <row r="18" spans="1:6" s="14" customFormat="1" x14ac:dyDescent="0.25">
      <c r="A18" s="13"/>
      <c r="B18" s="15" t="s">
        <v>62</v>
      </c>
      <c r="C18" s="15" t="s">
        <v>109</v>
      </c>
      <c r="D18" s="17"/>
      <c r="F18" s="17">
        <f>20*1000</f>
        <v>20000</v>
      </c>
    </row>
    <row r="19" spans="1:6" s="14" customFormat="1" x14ac:dyDescent="0.25">
      <c r="A19" s="13"/>
      <c r="B19" s="15" t="s">
        <v>63</v>
      </c>
      <c r="C19" s="15" t="s">
        <v>110</v>
      </c>
      <c r="D19" s="17"/>
      <c r="F19" s="17">
        <f>15*1000</f>
        <v>15000</v>
      </c>
    </row>
    <row r="20" spans="1:6" s="14" customFormat="1" ht="24" x14ac:dyDescent="0.25">
      <c r="A20" s="13"/>
      <c r="B20" s="15" t="s">
        <v>11</v>
      </c>
      <c r="C20" s="15" t="s">
        <v>33</v>
      </c>
      <c r="D20" s="17">
        <f>1*1000</f>
        <v>1000</v>
      </c>
      <c r="F20" s="17"/>
    </row>
    <row r="21" spans="1:6" s="14" customFormat="1" ht="24" x14ac:dyDescent="0.25">
      <c r="A21" s="13"/>
      <c r="B21" s="15" t="s">
        <v>11</v>
      </c>
      <c r="C21" s="15" t="s">
        <v>119</v>
      </c>
      <c r="D21" s="17">
        <f>0.98683*1000</f>
        <v>986.83</v>
      </c>
      <c r="F21" s="17"/>
    </row>
    <row r="22" spans="1:6" s="25" customFormat="1" ht="36" x14ac:dyDescent="0.25">
      <c r="A22" s="28"/>
      <c r="B22" s="15" t="s">
        <v>11</v>
      </c>
      <c r="C22" s="15" t="s">
        <v>123</v>
      </c>
      <c r="D22" s="17">
        <f>4*1000</f>
        <v>4000</v>
      </c>
      <c r="E22" s="28"/>
      <c r="F22" s="27"/>
    </row>
    <row r="23" spans="1:6" s="25" customFormat="1" x14ac:dyDescent="0.25">
      <c r="A23" s="28"/>
      <c r="B23" s="26"/>
      <c r="C23" s="18" t="s">
        <v>21</v>
      </c>
      <c r="D23" s="29">
        <f>SUM(D13:D22)</f>
        <v>7486.83</v>
      </c>
      <c r="E23" s="12">
        <f>SUM(E13:E22)</f>
        <v>0</v>
      </c>
      <c r="F23" s="29">
        <f>SUM(F13:F22)</f>
        <v>59318.399619999997</v>
      </c>
    </row>
    <row r="24" spans="1:6" s="25" customFormat="1" x14ac:dyDescent="0.25">
      <c r="A24" s="28"/>
      <c r="B24" s="26"/>
      <c r="C24" s="18"/>
      <c r="D24" s="27"/>
      <c r="E24" s="28"/>
      <c r="F24" s="27"/>
    </row>
    <row r="25" spans="1:6" s="25" customFormat="1" x14ac:dyDescent="0.25">
      <c r="A25" s="13" t="s">
        <v>27</v>
      </c>
      <c r="B25" s="26"/>
      <c r="C25" s="18"/>
      <c r="D25" s="27"/>
      <c r="E25" s="28"/>
      <c r="F25" s="27"/>
    </row>
    <row r="26" spans="1:6" s="25" customFormat="1" x14ac:dyDescent="0.25">
      <c r="A26" s="13"/>
      <c r="B26" s="26" t="s">
        <v>11</v>
      </c>
      <c r="C26" s="30" t="s">
        <v>31</v>
      </c>
      <c r="D26" s="27">
        <f>0.11821557*1000</f>
        <v>118.21557</v>
      </c>
      <c r="E26" s="28"/>
      <c r="F26" s="27"/>
    </row>
    <row r="27" spans="1:6" s="25" customFormat="1" x14ac:dyDescent="0.25">
      <c r="A27" s="13"/>
      <c r="B27" s="26"/>
      <c r="C27" s="18" t="s">
        <v>21</v>
      </c>
      <c r="D27" s="29">
        <f>SUM(D26)</f>
        <v>118.21557</v>
      </c>
      <c r="E27" s="28"/>
      <c r="F27" s="31"/>
    </row>
    <row r="28" spans="1:6" s="25" customFormat="1" x14ac:dyDescent="0.25">
      <c r="A28" s="13"/>
      <c r="B28" s="26"/>
      <c r="C28" s="18"/>
      <c r="D28" s="12"/>
      <c r="E28" s="28"/>
      <c r="F28" s="31"/>
    </row>
    <row r="29" spans="1:6" s="25" customFormat="1" x14ac:dyDescent="0.25">
      <c r="A29" s="13" t="s">
        <v>30</v>
      </c>
      <c r="B29" s="26"/>
      <c r="C29" s="30"/>
      <c r="D29" s="27"/>
      <c r="E29" s="28"/>
      <c r="F29" s="27"/>
    </row>
    <row r="30" spans="1:6" s="25" customFormat="1" x14ac:dyDescent="0.25">
      <c r="A30" s="13"/>
      <c r="B30" s="26" t="s">
        <v>28</v>
      </c>
      <c r="C30" s="30" t="s">
        <v>64</v>
      </c>
      <c r="D30" s="27"/>
      <c r="E30" s="28"/>
      <c r="F30" s="27">
        <f>3.531625*1000</f>
        <v>3531.625</v>
      </c>
    </row>
    <row r="31" spans="1:6" s="25" customFormat="1" x14ac:dyDescent="0.25">
      <c r="A31" s="13"/>
      <c r="B31" s="26" t="s">
        <v>65</v>
      </c>
      <c r="C31" s="30" t="s">
        <v>66</v>
      </c>
      <c r="D31" s="27"/>
      <c r="E31" s="28"/>
      <c r="F31" s="27">
        <f>3.21799131*1000</f>
        <v>3217.9913099999999</v>
      </c>
    </row>
    <row r="32" spans="1:6" s="25" customFormat="1" ht="36" x14ac:dyDescent="0.25">
      <c r="A32" s="13"/>
      <c r="B32" s="26" t="s">
        <v>11</v>
      </c>
      <c r="C32" s="30" t="s">
        <v>57</v>
      </c>
      <c r="D32" s="27">
        <f>0.16384489*1000</f>
        <v>163.84488999999999</v>
      </c>
      <c r="E32" s="28"/>
      <c r="F32" s="27"/>
    </row>
    <row r="33" spans="1:6" s="25" customFormat="1" x14ac:dyDescent="0.25">
      <c r="A33" s="28"/>
      <c r="B33" s="26"/>
      <c r="C33" s="18" t="s">
        <v>21</v>
      </c>
      <c r="D33" s="29">
        <f>SUM(D30:D32)</f>
        <v>163.84488999999999</v>
      </c>
      <c r="E33" s="28"/>
      <c r="F33" s="29">
        <f>SUM(F30:F32)</f>
        <v>6749.6163099999994</v>
      </c>
    </row>
    <row r="34" spans="1:6" s="25" customFormat="1" x14ac:dyDescent="0.25">
      <c r="A34" s="28"/>
      <c r="B34" s="26"/>
      <c r="C34" s="18"/>
      <c r="D34" s="12"/>
      <c r="E34" s="28"/>
      <c r="F34" s="31"/>
    </row>
    <row r="35" spans="1:6" s="25" customFormat="1" x14ac:dyDescent="0.25">
      <c r="A35" s="13" t="s">
        <v>67</v>
      </c>
      <c r="B35" s="26"/>
      <c r="C35" s="30"/>
      <c r="D35" s="27"/>
      <c r="E35" s="28"/>
      <c r="F35" s="27"/>
    </row>
    <row r="36" spans="1:6" s="25" customFormat="1" x14ac:dyDescent="0.25">
      <c r="A36" s="13"/>
      <c r="B36" s="26" t="s">
        <v>48</v>
      </c>
      <c r="C36" s="30" t="s">
        <v>68</v>
      </c>
      <c r="D36" s="27"/>
      <c r="E36" s="28"/>
      <c r="F36" s="27">
        <f>8.0475*1000</f>
        <v>8047.4999999999991</v>
      </c>
    </row>
    <row r="37" spans="1:6" s="25" customFormat="1" x14ac:dyDescent="0.25">
      <c r="A37" s="13"/>
      <c r="B37" s="26" t="s">
        <v>7</v>
      </c>
      <c r="C37" s="30" t="s">
        <v>69</v>
      </c>
      <c r="D37" s="27">
        <f>0.5*1000</f>
        <v>500</v>
      </c>
      <c r="E37" s="28"/>
      <c r="F37" s="27"/>
    </row>
    <row r="38" spans="1:6" s="25" customFormat="1" x14ac:dyDescent="0.25">
      <c r="A38" s="28"/>
      <c r="B38" s="26"/>
      <c r="C38" s="18" t="s">
        <v>21</v>
      </c>
      <c r="D38" s="29">
        <f>SUM(D36:D37)</f>
        <v>500</v>
      </c>
      <c r="E38" s="28"/>
      <c r="F38" s="29">
        <f>SUM(F36:F37)</f>
        <v>8047.4999999999991</v>
      </c>
    </row>
    <row r="39" spans="1:6" s="25" customFormat="1" x14ac:dyDescent="0.25">
      <c r="A39" s="28"/>
      <c r="B39" s="26"/>
      <c r="C39" s="18"/>
      <c r="D39" s="12"/>
      <c r="E39" s="28"/>
      <c r="F39" s="31"/>
    </row>
    <row r="40" spans="1:6" s="25" customFormat="1" x14ac:dyDescent="0.25">
      <c r="A40" s="13" t="s">
        <v>70</v>
      </c>
      <c r="B40" s="26"/>
      <c r="C40" s="18"/>
      <c r="D40" s="27"/>
      <c r="E40" s="28"/>
      <c r="F40" s="27"/>
    </row>
    <row r="41" spans="1:6" s="25" customFormat="1" x14ac:dyDescent="0.25">
      <c r="A41" s="13"/>
      <c r="B41" s="26" t="s">
        <v>4</v>
      </c>
      <c r="C41" s="30" t="s">
        <v>111</v>
      </c>
      <c r="D41" s="27"/>
      <c r="E41" s="28"/>
      <c r="F41" s="27">
        <f>2.12*1000</f>
        <v>2120</v>
      </c>
    </row>
    <row r="42" spans="1:6" s="25" customFormat="1" ht="24" x14ac:dyDescent="0.25">
      <c r="A42" s="28"/>
      <c r="B42" s="26" t="s">
        <v>11</v>
      </c>
      <c r="C42" s="30" t="s">
        <v>120</v>
      </c>
      <c r="D42" s="27">
        <f>1.27608*1000</f>
        <v>1276.0800000000002</v>
      </c>
      <c r="E42" s="28"/>
      <c r="F42" s="27"/>
    </row>
    <row r="43" spans="1:6" s="25" customFormat="1" x14ac:dyDescent="0.25">
      <c r="A43" s="28"/>
      <c r="B43" s="26"/>
      <c r="C43" s="18" t="s">
        <v>21</v>
      </c>
      <c r="D43" s="29">
        <f>SUM(D41:D42)</f>
        <v>1276.0800000000002</v>
      </c>
      <c r="E43" s="28"/>
      <c r="F43" s="29">
        <f>SUM(F41:F42)</f>
        <v>2120</v>
      </c>
    </row>
    <row r="44" spans="1:6" s="25" customFormat="1" x14ac:dyDescent="0.25">
      <c r="A44" s="28"/>
      <c r="B44" s="26"/>
      <c r="C44" s="18"/>
      <c r="D44" s="12"/>
      <c r="E44" s="28"/>
      <c r="F44" s="31"/>
    </row>
    <row r="45" spans="1:6" s="25" customFormat="1" x14ac:dyDescent="0.25">
      <c r="A45" s="13" t="s">
        <v>71</v>
      </c>
      <c r="B45" s="26"/>
      <c r="C45" s="18"/>
      <c r="D45" s="27"/>
      <c r="E45" s="28"/>
      <c r="F45" s="27"/>
    </row>
    <row r="46" spans="1:6" s="25" customFormat="1" ht="36" x14ac:dyDescent="0.25">
      <c r="A46" s="28"/>
      <c r="B46" s="26" t="s">
        <v>11</v>
      </c>
      <c r="C46" s="30" t="s">
        <v>121</v>
      </c>
      <c r="D46" s="27">
        <f>0.121386*1000</f>
        <v>121.386</v>
      </c>
      <c r="E46" s="28"/>
      <c r="F46" s="27"/>
    </row>
    <row r="47" spans="1:6" s="25" customFormat="1" x14ac:dyDescent="0.25">
      <c r="A47" s="28"/>
      <c r="B47" s="26"/>
      <c r="C47" s="18" t="s">
        <v>21</v>
      </c>
      <c r="D47" s="29">
        <f>SUM(D46:D46)</f>
        <v>121.386</v>
      </c>
      <c r="E47" s="28"/>
      <c r="F47" s="12"/>
    </row>
    <row r="48" spans="1:6" s="25" customFormat="1" x14ac:dyDescent="0.25">
      <c r="A48" s="28"/>
      <c r="B48" s="26"/>
      <c r="C48" s="30"/>
      <c r="D48" s="27"/>
      <c r="E48" s="28"/>
      <c r="F48" s="27"/>
    </row>
    <row r="49" spans="1:6" s="25" customFormat="1" x14ac:dyDescent="0.25">
      <c r="A49" s="13" t="s">
        <v>42</v>
      </c>
      <c r="B49" s="26"/>
      <c r="C49" s="18"/>
      <c r="D49" s="27"/>
      <c r="E49" s="28"/>
      <c r="F49" s="27"/>
    </row>
    <row r="50" spans="1:6" s="25" customFormat="1" ht="24" x14ac:dyDescent="0.25">
      <c r="A50" s="28"/>
      <c r="B50" s="26" t="s">
        <v>3</v>
      </c>
      <c r="C50" s="30" t="s">
        <v>122</v>
      </c>
      <c r="D50" s="27"/>
      <c r="E50" s="28"/>
      <c r="F50" s="27">
        <f>17.8*1000</f>
        <v>17800</v>
      </c>
    </row>
    <row r="51" spans="1:6" s="25" customFormat="1" x14ac:dyDescent="0.25">
      <c r="A51" s="28"/>
      <c r="B51" s="26"/>
      <c r="C51" s="18" t="s">
        <v>21</v>
      </c>
      <c r="D51" s="31"/>
      <c r="E51" s="28"/>
      <c r="F51" s="29">
        <f>SUM(F50)</f>
        <v>17800</v>
      </c>
    </row>
    <row r="52" spans="1:6" s="25" customFormat="1" x14ac:dyDescent="0.25">
      <c r="A52" s="28"/>
      <c r="B52" s="26"/>
      <c r="C52" s="18"/>
      <c r="D52" s="27"/>
      <c r="E52" s="28"/>
      <c r="F52" s="27"/>
    </row>
    <row r="53" spans="1:6" s="25" customFormat="1" x14ac:dyDescent="0.25">
      <c r="A53" s="13" t="s">
        <v>1</v>
      </c>
      <c r="B53" s="28"/>
      <c r="C53" s="26"/>
      <c r="D53" s="27"/>
      <c r="E53" s="28"/>
      <c r="F53" s="27"/>
    </row>
    <row r="54" spans="1:6" s="25" customFormat="1" ht="24" x14ac:dyDescent="0.25">
      <c r="A54" s="13"/>
      <c r="B54" s="28" t="s">
        <v>55</v>
      </c>
      <c r="C54" s="26" t="s">
        <v>118</v>
      </c>
      <c r="D54" s="27"/>
      <c r="E54" s="28"/>
      <c r="F54" s="27">
        <f>1.55824987*1000</f>
        <v>1558.2498700000001</v>
      </c>
    </row>
    <row r="55" spans="1:6" s="25" customFormat="1" x14ac:dyDescent="0.25">
      <c r="A55" s="13"/>
      <c r="B55" s="28" t="s">
        <v>72</v>
      </c>
      <c r="C55" s="26" t="s">
        <v>73</v>
      </c>
      <c r="D55" s="27">
        <f>0.75*1000</f>
        <v>750</v>
      </c>
      <c r="E55" s="28"/>
      <c r="F55" s="27"/>
    </row>
    <row r="56" spans="1:6" s="25" customFormat="1" x14ac:dyDescent="0.25">
      <c r="A56" s="13"/>
      <c r="B56" s="28" t="s">
        <v>44</v>
      </c>
      <c r="C56" s="26" t="s">
        <v>74</v>
      </c>
      <c r="D56" s="27"/>
      <c r="E56" s="28"/>
      <c r="F56" s="27">
        <f>6.24900016*1000</f>
        <v>6249.0001599999996</v>
      </c>
    </row>
    <row r="57" spans="1:6" s="25" customFormat="1" ht="36" x14ac:dyDescent="0.25">
      <c r="A57" s="13"/>
      <c r="B57" s="28" t="s">
        <v>11</v>
      </c>
      <c r="C57" s="26" t="s">
        <v>123</v>
      </c>
      <c r="D57" s="27">
        <f>3*1000</f>
        <v>3000</v>
      </c>
      <c r="E57" s="28"/>
      <c r="F57" s="27"/>
    </row>
    <row r="58" spans="1:6" s="25" customFormat="1" x14ac:dyDescent="0.25">
      <c r="A58" s="28"/>
      <c r="B58" s="26"/>
      <c r="C58" s="18" t="s">
        <v>21</v>
      </c>
      <c r="D58" s="29">
        <f>SUM(D54:D57)</f>
        <v>3750</v>
      </c>
      <c r="E58" s="28"/>
      <c r="F58" s="29">
        <f>SUM(F54:F57)</f>
        <v>7807.2500299999992</v>
      </c>
    </row>
    <row r="59" spans="1:6" s="25" customFormat="1" x14ac:dyDescent="0.25">
      <c r="A59" s="28"/>
      <c r="B59" s="26"/>
      <c r="C59" s="18"/>
      <c r="D59" s="27"/>
      <c r="E59" s="28"/>
      <c r="F59" s="27"/>
    </row>
    <row r="60" spans="1:6" s="25" customFormat="1" x14ac:dyDescent="0.25">
      <c r="A60" s="13" t="s">
        <v>75</v>
      </c>
      <c r="B60" s="28"/>
      <c r="C60" s="26"/>
      <c r="D60" s="27"/>
      <c r="E60" s="28"/>
      <c r="F60" s="27"/>
    </row>
    <row r="61" spans="1:6" s="25" customFormat="1" x14ac:dyDescent="0.25">
      <c r="A61" s="28"/>
      <c r="B61" s="28" t="s">
        <v>37</v>
      </c>
      <c r="C61" s="26" t="s">
        <v>76</v>
      </c>
      <c r="D61" s="27">
        <f>5*1000</f>
        <v>5000</v>
      </c>
      <c r="E61" s="28"/>
      <c r="F61" s="27"/>
    </row>
    <row r="62" spans="1:6" s="25" customFormat="1" x14ac:dyDescent="0.25">
      <c r="A62" s="28"/>
      <c r="B62" s="26"/>
      <c r="C62" s="18" t="s">
        <v>21</v>
      </c>
      <c r="D62" s="29">
        <f>SUM(D61:D61)</f>
        <v>5000</v>
      </c>
      <c r="E62" s="28"/>
      <c r="F62" s="27"/>
    </row>
    <row r="63" spans="1:6" s="25" customFormat="1" x14ac:dyDescent="0.25">
      <c r="A63" s="28"/>
      <c r="B63" s="28"/>
      <c r="C63" s="26"/>
      <c r="D63" s="27"/>
      <c r="E63" s="28"/>
      <c r="F63" s="27"/>
    </row>
    <row r="64" spans="1:6" s="25" customFormat="1" x14ac:dyDescent="0.25">
      <c r="A64" s="13" t="s">
        <v>77</v>
      </c>
      <c r="B64" s="28"/>
      <c r="C64" s="26"/>
      <c r="D64" s="27"/>
      <c r="E64" s="28"/>
      <c r="F64" s="27"/>
    </row>
    <row r="65" spans="1:6" s="25" customFormat="1" x14ac:dyDescent="0.25">
      <c r="A65" s="28"/>
      <c r="B65" s="28" t="s">
        <v>11</v>
      </c>
      <c r="C65" s="26" t="s">
        <v>31</v>
      </c>
      <c r="D65" s="27">
        <f>0.36*1000</f>
        <v>360</v>
      </c>
      <c r="E65" s="28"/>
      <c r="F65" s="27"/>
    </row>
    <row r="66" spans="1:6" s="25" customFormat="1" x14ac:dyDescent="0.25">
      <c r="A66" s="28"/>
      <c r="B66" s="26"/>
      <c r="C66" s="18" t="s">
        <v>21</v>
      </c>
      <c r="D66" s="29">
        <f>SUM(D65:D65)</f>
        <v>360</v>
      </c>
      <c r="E66" s="28"/>
      <c r="F66" s="27"/>
    </row>
    <row r="67" spans="1:6" s="25" customFormat="1" x14ac:dyDescent="0.25">
      <c r="A67" s="28"/>
      <c r="B67" s="28"/>
      <c r="C67" s="26"/>
      <c r="D67" s="27"/>
      <c r="E67" s="28"/>
      <c r="F67" s="27"/>
    </row>
    <row r="68" spans="1:6" s="25" customFormat="1" x14ac:dyDescent="0.25">
      <c r="A68" s="13" t="s">
        <v>19</v>
      </c>
      <c r="B68" s="26"/>
      <c r="C68" s="18"/>
      <c r="D68" s="27"/>
      <c r="E68" s="28"/>
      <c r="F68" s="27"/>
    </row>
    <row r="69" spans="1:6" s="25" customFormat="1" x14ac:dyDescent="0.25">
      <c r="A69" s="13"/>
      <c r="B69" s="26" t="s">
        <v>5</v>
      </c>
      <c r="C69" s="30" t="s">
        <v>41</v>
      </c>
      <c r="D69" s="27"/>
      <c r="E69" s="28"/>
      <c r="F69" s="27">
        <f>6.38*1000</f>
        <v>6380</v>
      </c>
    </row>
    <row r="70" spans="1:6" s="25" customFormat="1" ht="36" x14ac:dyDescent="0.25">
      <c r="A70" s="13"/>
      <c r="B70" s="26" t="s">
        <v>11</v>
      </c>
      <c r="C70" s="30" t="s">
        <v>123</v>
      </c>
      <c r="D70" s="27">
        <f>1.25*1000</f>
        <v>1250</v>
      </c>
      <c r="E70" s="28"/>
      <c r="F70" s="27"/>
    </row>
    <row r="71" spans="1:6" s="25" customFormat="1" x14ac:dyDescent="0.25">
      <c r="A71" s="28"/>
      <c r="B71" s="26"/>
      <c r="C71" s="18" t="s">
        <v>21</v>
      </c>
      <c r="D71" s="29">
        <f>SUM(D69:D70)</f>
        <v>1250</v>
      </c>
      <c r="E71" s="28"/>
      <c r="F71" s="29">
        <f>SUM(F69:F70)</f>
        <v>6380</v>
      </c>
    </row>
    <row r="72" spans="1:6" s="25" customFormat="1" x14ac:dyDescent="0.25">
      <c r="A72" s="28"/>
      <c r="B72" s="26"/>
      <c r="C72" s="18"/>
      <c r="D72" s="27"/>
      <c r="E72" s="28"/>
      <c r="F72" s="27"/>
    </row>
    <row r="73" spans="1:6" s="25" customFormat="1" x14ac:dyDescent="0.25">
      <c r="A73" s="13" t="s">
        <v>43</v>
      </c>
      <c r="B73" s="28"/>
      <c r="C73" s="26"/>
      <c r="D73" s="16">
        <f>D76+D82+D88+D93+D99+D122+D127+D144+D148+D158+D163+D153</f>
        <v>42855</v>
      </c>
      <c r="E73" s="16"/>
      <c r="F73" s="16">
        <f>F76+F82+F88+F93+F99+F122+F127+F144+F148+F158+F163</f>
        <v>38700</v>
      </c>
    </row>
    <row r="74" spans="1:6" s="25" customFormat="1" ht="24.75" customHeight="1" x14ac:dyDescent="0.25">
      <c r="A74" s="60" t="s">
        <v>183</v>
      </c>
      <c r="B74" s="60"/>
      <c r="C74" s="60"/>
      <c r="D74" s="27"/>
      <c r="E74" s="28"/>
      <c r="F74" s="27"/>
    </row>
    <row r="75" spans="1:6" s="25" customFormat="1" x14ac:dyDescent="0.25">
      <c r="A75" s="13"/>
      <c r="B75" s="28" t="s">
        <v>11</v>
      </c>
      <c r="C75" s="30" t="s">
        <v>45</v>
      </c>
      <c r="D75" s="27">
        <f>0.225*1000</f>
        <v>225</v>
      </c>
      <c r="E75" s="28"/>
      <c r="F75" s="27"/>
    </row>
    <row r="76" spans="1:6" s="25" customFormat="1" x14ac:dyDescent="0.25">
      <c r="A76" s="13"/>
      <c r="B76" s="28"/>
      <c r="C76" s="18" t="s">
        <v>21</v>
      </c>
      <c r="D76" s="29">
        <f>SUM(D75)</f>
        <v>225</v>
      </c>
      <c r="E76" s="28"/>
      <c r="F76" s="27"/>
    </row>
    <row r="77" spans="1:6" s="25" customFormat="1" x14ac:dyDescent="0.25">
      <c r="A77" s="13"/>
      <c r="B77" s="28"/>
      <c r="C77" s="30"/>
      <c r="D77" s="27"/>
      <c r="E77" s="28"/>
      <c r="F77" s="27"/>
    </row>
    <row r="78" spans="1:6" s="25" customFormat="1" x14ac:dyDescent="0.25">
      <c r="A78" s="13" t="s">
        <v>78</v>
      </c>
      <c r="B78" s="32"/>
      <c r="C78" s="18"/>
      <c r="D78" s="27"/>
      <c r="E78" s="28"/>
      <c r="F78" s="27"/>
    </row>
    <row r="79" spans="1:6" s="25" customFormat="1" ht="24" x14ac:dyDescent="0.25">
      <c r="A79" s="13"/>
      <c r="B79" s="32" t="s">
        <v>11</v>
      </c>
      <c r="C79" s="30" t="s">
        <v>124</v>
      </c>
      <c r="D79" s="27">
        <f>0.5*1000</f>
        <v>500</v>
      </c>
      <c r="E79" s="28"/>
      <c r="F79" s="27"/>
    </row>
    <row r="80" spans="1:6" s="25" customFormat="1" ht="24" x14ac:dyDescent="0.25">
      <c r="A80" s="13"/>
      <c r="B80" s="32" t="s">
        <v>11</v>
      </c>
      <c r="C80" s="30" t="s">
        <v>125</v>
      </c>
      <c r="D80" s="27">
        <f>0.75*1000</f>
        <v>750</v>
      </c>
      <c r="E80" s="28"/>
      <c r="F80" s="27"/>
    </row>
    <row r="81" spans="1:6" s="25" customFormat="1" x14ac:dyDescent="0.25">
      <c r="A81" s="28"/>
      <c r="B81" s="28" t="s">
        <v>11</v>
      </c>
      <c r="C81" s="30" t="s">
        <v>79</v>
      </c>
      <c r="D81" s="27">
        <f>0.75*1000</f>
        <v>750</v>
      </c>
      <c r="E81" s="28"/>
      <c r="F81" s="27"/>
    </row>
    <row r="82" spans="1:6" s="25" customFormat="1" x14ac:dyDescent="0.25">
      <c r="A82" s="28"/>
      <c r="B82" s="32"/>
      <c r="C82" s="18" t="s">
        <v>21</v>
      </c>
      <c r="D82" s="29">
        <f>SUM(D79:D81)</f>
        <v>2000</v>
      </c>
      <c r="E82" s="28"/>
      <c r="F82" s="27"/>
    </row>
    <row r="83" spans="1:6" s="25" customFormat="1" x14ac:dyDescent="0.25">
      <c r="A83" s="28"/>
      <c r="B83" s="26"/>
      <c r="C83" s="18"/>
      <c r="D83" s="27"/>
      <c r="E83" s="28"/>
      <c r="F83" s="27"/>
    </row>
    <row r="84" spans="1:6" s="28" customFormat="1" ht="24.75" customHeight="1" x14ac:dyDescent="0.25">
      <c r="A84" s="60" t="s">
        <v>184</v>
      </c>
      <c r="B84" s="60"/>
      <c r="C84" s="60"/>
      <c r="D84" s="27"/>
      <c r="F84" s="27"/>
    </row>
    <row r="85" spans="1:6" s="28" customFormat="1" ht="24" x14ac:dyDescent="0.25">
      <c r="A85" s="13"/>
      <c r="B85" s="26" t="s">
        <v>7</v>
      </c>
      <c r="C85" s="30" t="s">
        <v>126</v>
      </c>
      <c r="D85" s="27">
        <f>0.5*1000</f>
        <v>500</v>
      </c>
      <c r="F85" s="27"/>
    </row>
    <row r="86" spans="1:6" s="43" customFormat="1" x14ac:dyDescent="0.25">
      <c r="A86" s="41"/>
      <c r="B86" s="15" t="s">
        <v>22</v>
      </c>
      <c r="C86" s="42" t="s">
        <v>80</v>
      </c>
      <c r="D86" s="17">
        <v>300</v>
      </c>
      <c r="F86" s="44"/>
    </row>
    <row r="87" spans="1:6" s="28" customFormat="1" ht="24" x14ac:dyDescent="0.25">
      <c r="A87" s="13"/>
      <c r="B87" s="26" t="s">
        <v>11</v>
      </c>
      <c r="C87" s="30" t="s">
        <v>127</v>
      </c>
      <c r="D87" s="27">
        <f>0.75*1000</f>
        <v>750</v>
      </c>
      <c r="F87" s="27"/>
    </row>
    <row r="88" spans="1:6" s="28" customFormat="1" x14ac:dyDescent="0.25">
      <c r="B88" s="26"/>
      <c r="C88" s="18" t="s">
        <v>21</v>
      </c>
      <c r="D88" s="29">
        <f>SUM(D85:D87)</f>
        <v>1550</v>
      </c>
      <c r="F88" s="27"/>
    </row>
    <row r="89" spans="1:6" s="28" customFormat="1" x14ac:dyDescent="0.25">
      <c r="B89" s="26"/>
      <c r="C89" s="18"/>
      <c r="D89" s="27"/>
      <c r="F89" s="27"/>
    </row>
    <row r="90" spans="1:6" s="28" customFormat="1" ht="24.75" customHeight="1" x14ac:dyDescent="0.25">
      <c r="A90" s="58" t="s">
        <v>186</v>
      </c>
      <c r="B90" s="58"/>
      <c r="C90" s="58"/>
      <c r="D90" s="58"/>
      <c r="E90" s="58"/>
      <c r="F90" s="58"/>
    </row>
    <row r="91" spans="1:6" s="28" customFormat="1" ht="24" x14ac:dyDescent="0.25">
      <c r="A91" s="20"/>
      <c r="B91" s="32" t="s">
        <v>6</v>
      </c>
      <c r="C91" s="33" t="s">
        <v>128</v>
      </c>
      <c r="D91" s="27">
        <f>1*1000</f>
        <v>1000</v>
      </c>
      <c r="F91" s="27"/>
    </row>
    <row r="92" spans="1:6" s="28" customFormat="1" ht="24" x14ac:dyDescent="0.25">
      <c r="A92" s="20"/>
      <c r="B92" s="26" t="s">
        <v>9</v>
      </c>
      <c r="C92" s="33" t="s">
        <v>129</v>
      </c>
      <c r="D92" s="27">
        <f>1*1000</f>
        <v>1000</v>
      </c>
      <c r="F92" s="27"/>
    </row>
    <row r="93" spans="1:6" s="28" customFormat="1" x14ac:dyDescent="0.25">
      <c r="A93" s="20"/>
      <c r="B93" s="26"/>
      <c r="C93" s="18" t="s">
        <v>21</v>
      </c>
      <c r="D93" s="29">
        <f>SUM(D91:D92)</f>
        <v>2000</v>
      </c>
      <c r="F93" s="27"/>
    </row>
    <row r="94" spans="1:6" s="28" customFormat="1" x14ac:dyDescent="0.25">
      <c r="A94" s="20"/>
      <c r="B94" s="26"/>
      <c r="C94" s="33"/>
      <c r="D94" s="27"/>
      <c r="F94" s="27"/>
    </row>
    <row r="95" spans="1:6" s="28" customFormat="1" ht="24.75" customHeight="1" x14ac:dyDescent="0.25">
      <c r="A95" s="58" t="s">
        <v>187</v>
      </c>
      <c r="B95" s="58"/>
      <c r="C95" s="58"/>
      <c r="D95" s="27"/>
      <c r="F95" s="27"/>
    </row>
    <row r="96" spans="1:6" s="28" customFormat="1" x14ac:dyDescent="0.25">
      <c r="A96" s="20"/>
      <c r="B96" s="32" t="s">
        <v>36</v>
      </c>
      <c r="C96" s="33" t="s">
        <v>81</v>
      </c>
      <c r="D96" s="27"/>
      <c r="F96" s="27">
        <f>0.7*1000</f>
        <v>700</v>
      </c>
    </row>
    <row r="97" spans="1:6" s="28" customFormat="1" ht="24" x14ac:dyDescent="0.25">
      <c r="A97" s="20"/>
      <c r="B97" s="32" t="s">
        <v>63</v>
      </c>
      <c r="C97" s="26" t="s">
        <v>130</v>
      </c>
      <c r="D97" s="27"/>
      <c r="F97" s="27">
        <f>0.8*1000</f>
        <v>800</v>
      </c>
    </row>
    <row r="98" spans="1:6" s="28" customFormat="1" ht="24" x14ac:dyDescent="0.25">
      <c r="A98" s="20"/>
      <c r="B98" s="26" t="s">
        <v>11</v>
      </c>
      <c r="C98" s="33" t="s">
        <v>131</v>
      </c>
      <c r="D98" s="27">
        <f>0.7*1000</f>
        <v>700</v>
      </c>
      <c r="F98" s="27"/>
    </row>
    <row r="99" spans="1:6" s="28" customFormat="1" x14ac:dyDescent="0.25">
      <c r="A99" s="20"/>
      <c r="B99" s="26"/>
      <c r="C99" s="18" t="s">
        <v>21</v>
      </c>
      <c r="D99" s="29">
        <f>SUM(D96:D98)</f>
        <v>700</v>
      </c>
      <c r="F99" s="29">
        <f>SUM(F96:F98)</f>
        <v>1500</v>
      </c>
    </row>
    <row r="100" spans="1:6" s="28" customFormat="1" x14ac:dyDescent="0.25">
      <c r="A100" s="20"/>
      <c r="B100" s="26"/>
      <c r="C100" s="33"/>
      <c r="D100" s="27"/>
      <c r="F100" s="27"/>
    </row>
    <row r="101" spans="1:6" s="28" customFormat="1" x14ac:dyDescent="0.25">
      <c r="A101" s="20" t="s">
        <v>46</v>
      </c>
      <c r="B101" s="26"/>
      <c r="C101" s="33"/>
      <c r="D101" s="27"/>
      <c r="F101" s="27"/>
    </row>
    <row r="102" spans="1:6" s="28" customFormat="1" ht="24" x14ac:dyDescent="0.25">
      <c r="A102" s="20"/>
      <c r="B102" s="26" t="s">
        <v>3</v>
      </c>
      <c r="C102" s="33" t="s">
        <v>132</v>
      </c>
      <c r="D102" s="27">
        <f>1*1000</f>
        <v>1000</v>
      </c>
      <c r="F102" s="27"/>
    </row>
    <row r="103" spans="1:6" s="28" customFormat="1" x14ac:dyDescent="0.25">
      <c r="A103" s="20"/>
      <c r="B103" s="26" t="s">
        <v>28</v>
      </c>
      <c r="C103" s="33" t="s">
        <v>64</v>
      </c>
      <c r="D103" s="27"/>
      <c r="F103" s="27">
        <f>2*1000</f>
        <v>2000</v>
      </c>
    </row>
    <row r="104" spans="1:6" s="28" customFormat="1" x14ac:dyDescent="0.25">
      <c r="A104" s="20"/>
      <c r="B104" s="26" t="s">
        <v>39</v>
      </c>
      <c r="C104" s="33" t="s">
        <v>82</v>
      </c>
      <c r="D104" s="27"/>
      <c r="F104" s="27">
        <f>3*1000</f>
        <v>3000</v>
      </c>
    </row>
    <row r="105" spans="1:6" s="28" customFormat="1" ht="36" x14ac:dyDescent="0.25">
      <c r="A105" s="20"/>
      <c r="B105" s="26" t="s">
        <v>4</v>
      </c>
      <c r="C105" s="33" t="s">
        <v>133</v>
      </c>
      <c r="D105" s="27">
        <f>2*1000</f>
        <v>2000</v>
      </c>
      <c r="F105" s="27"/>
    </row>
    <row r="106" spans="1:6" s="28" customFormat="1" x14ac:dyDescent="0.25">
      <c r="A106" s="20"/>
      <c r="B106" s="26" t="s">
        <v>4</v>
      </c>
      <c r="C106" s="33" t="s">
        <v>83</v>
      </c>
      <c r="D106" s="27"/>
      <c r="F106" s="27">
        <f>2*1000</f>
        <v>2000</v>
      </c>
    </row>
    <row r="107" spans="1:6" s="43" customFormat="1" ht="24" x14ac:dyDescent="0.25">
      <c r="A107" s="41"/>
      <c r="B107" s="15" t="s">
        <v>6</v>
      </c>
      <c r="C107" s="42" t="s">
        <v>134</v>
      </c>
      <c r="D107" s="17">
        <f>2*1000</f>
        <v>2000</v>
      </c>
      <c r="E107" s="14"/>
      <c r="F107" s="17"/>
    </row>
    <row r="108" spans="1:6" s="28" customFormat="1" ht="24" x14ac:dyDescent="0.25">
      <c r="A108" s="20"/>
      <c r="B108" s="15" t="s">
        <v>17</v>
      </c>
      <c r="C108" s="45" t="s">
        <v>135</v>
      </c>
      <c r="D108" s="17">
        <f>2*1000</f>
        <v>2000</v>
      </c>
      <c r="E108" s="14"/>
      <c r="F108" s="17"/>
    </row>
    <row r="109" spans="1:6" s="28" customFormat="1" x14ac:dyDescent="0.25">
      <c r="A109" s="20"/>
      <c r="B109" s="26" t="s">
        <v>65</v>
      </c>
      <c r="C109" s="33" t="s">
        <v>66</v>
      </c>
      <c r="D109" s="27"/>
      <c r="F109" s="27">
        <f>3*1000</f>
        <v>3000</v>
      </c>
    </row>
    <row r="110" spans="1:6" s="28" customFormat="1" ht="24" x14ac:dyDescent="0.25">
      <c r="A110" s="20"/>
      <c r="B110" s="26" t="s">
        <v>5</v>
      </c>
      <c r="C110" s="33" t="s">
        <v>136</v>
      </c>
      <c r="D110" s="27">
        <f>0.75*1000</f>
        <v>750</v>
      </c>
      <c r="F110" s="27"/>
    </row>
    <row r="111" spans="1:6" s="28" customFormat="1" x14ac:dyDescent="0.25">
      <c r="A111" s="20"/>
      <c r="B111" s="26" t="s">
        <v>9</v>
      </c>
      <c r="C111" s="33" t="s">
        <v>112</v>
      </c>
      <c r="D111" s="27"/>
      <c r="F111" s="27">
        <f>5*1000</f>
        <v>5000</v>
      </c>
    </row>
    <row r="112" spans="1:6" s="28" customFormat="1" x14ac:dyDescent="0.25">
      <c r="A112" s="20"/>
      <c r="B112" s="26" t="s">
        <v>9</v>
      </c>
      <c r="C112" s="33" t="s">
        <v>84</v>
      </c>
      <c r="D112" s="27"/>
      <c r="F112" s="27">
        <f>3*1000</f>
        <v>3000</v>
      </c>
    </row>
    <row r="113" spans="1:6" s="28" customFormat="1" x14ac:dyDescent="0.25">
      <c r="A113" s="20"/>
      <c r="B113" s="26" t="s">
        <v>9</v>
      </c>
      <c r="C113" s="33" t="s">
        <v>85</v>
      </c>
      <c r="D113" s="27">
        <f>2*1000</f>
        <v>2000</v>
      </c>
      <c r="F113" s="27"/>
    </row>
    <row r="114" spans="1:6" s="28" customFormat="1" ht="24" x14ac:dyDescent="0.25">
      <c r="A114" s="20"/>
      <c r="B114" s="26" t="s">
        <v>7</v>
      </c>
      <c r="C114" s="33" t="s">
        <v>126</v>
      </c>
      <c r="D114" s="27">
        <f>2*1000</f>
        <v>2000</v>
      </c>
      <c r="F114" s="27"/>
    </row>
    <row r="115" spans="1:6" s="28" customFormat="1" x14ac:dyDescent="0.25">
      <c r="A115" s="20"/>
      <c r="B115" s="26" t="s">
        <v>23</v>
      </c>
      <c r="C115" s="33" t="s">
        <v>86</v>
      </c>
      <c r="D115" s="27">
        <f>1*1000</f>
        <v>1000</v>
      </c>
      <c r="F115" s="27"/>
    </row>
    <row r="116" spans="1:6" s="28" customFormat="1" x14ac:dyDescent="0.25">
      <c r="A116" s="20"/>
      <c r="B116" s="26" t="s">
        <v>62</v>
      </c>
      <c r="C116" s="33" t="s">
        <v>87</v>
      </c>
      <c r="D116" s="27"/>
      <c r="F116" s="27">
        <f>3*1000</f>
        <v>3000</v>
      </c>
    </row>
    <row r="117" spans="1:6" s="28" customFormat="1" x14ac:dyDescent="0.25">
      <c r="A117" s="20"/>
      <c r="B117" s="26" t="s">
        <v>37</v>
      </c>
      <c r="C117" s="33" t="s">
        <v>76</v>
      </c>
      <c r="D117" s="27">
        <f>2*1000</f>
        <v>2000</v>
      </c>
      <c r="F117" s="27"/>
    </row>
    <row r="118" spans="1:6" s="28" customFormat="1" ht="24" x14ac:dyDescent="0.25">
      <c r="A118" s="20"/>
      <c r="B118" s="26" t="s">
        <v>11</v>
      </c>
      <c r="C118" s="33" t="s">
        <v>137</v>
      </c>
      <c r="D118" s="27">
        <f>2*1000</f>
        <v>2000</v>
      </c>
      <c r="F118" s="27"/>
    </row>
    <row r="119" spans="1:6" s="28" customFormat="1" ht="24" x14ac:dyDescent="0.25">
      <c r="A119" s="20"/>
      <c r="B119" s="26" t="s">
        <v>11</v>
      </c>
      <c r="C119" s="33" t="s">
        <v>138</v>
      </c>
      <c r="D119" s="27">
        <f>2*1000</f>
        <v>2000</v>
      </c>
      <c r="F119" s="27"/>
    </row>
    <row r="120" spans="1:6" s="28" customFormat="1" ht="24" x14ac:dyDescent="0.25">
      <c r="A120" s="20"/>
      <c r="B120" s="26" t="s">
        <v>11</v>
      </c>
      <c r="C120" s="33" t="s">
        <v>139</v>
      </c>
      <c r="D120" s="27">
        <f>2*1000</f>
        <v>2000</v>
      </c>
      <c r="F120" s="27"/>
    </row>
    <row r="121" spans="1:6" s="28" customFormat="1" ht="24" x14ac:dyDescent="0.25">
      <c r="A121" s="20"/>
      <c r="B121" s="26" t="s">
        <v>11</v>
      </c>
      <c r="C121" s="33" t="s">
        <v>140</v>
      </c>
      <c r="D121" s="27">
        <f>2*1000</f>
        <v>2000</v>
      </c>
      <c r="F121" s="27"/>
    </row>
    <row r="122" spans="1:6" s="28" customFormat="1" x14ac:dyDescent="0.25">
      <c r="B122" s="32"/>
      <c r="C122" s="18" t="s">
        <v>21</v>
      </c>
      <c r="D122" s="29">
        <f>SUM(D102:D121)</f>
        <v>22750</v>
      </c>
      <c r="F122" s="29">
        <f>SUM(F102:F121)</f>
        <v>21000</v>
      </c>
    </row>
    <row r="123" spans="1:6" s="28" customFormat="1" x14ac:dyDescent="0.25">
      <c r="B123" s="32"/>
      <c r="C123" s="18"/>
      <c r="D123" s="12"/>
      <c r="F123" s="31"/>
    </row>
    <row r="124" spans="1:6" s="28" customFormat="1" x14ac:dyDescent="0.25">
      <c r="A124" s="13" t="s">
        <v>47</v>
      </c>
      <c r="B124" s="26"/>
      <c r="C124" s="18"/>
      <c r="D124" s="27"/>
      <c r="F124" s="27"/>
    </row>
    <row r="125" spans="1:6" s="43" customFormat="1" x14ac:dyDescent="0.25">
      <c r="A125" s="46"/>
      <c r="B125" s="15" t="s">
        <v>6</v>
      </c>
      <c r="C125" s="45" t="s">
        <v>113</v>
      </c>
      <c r="D125" s="17"/>
      <c r="E125" s="14"/>
      <c r="F125" s="17">
        <f>10*1000</f>
        <v>10000</v>
      </c>
    </row>
    <row r="126" spans="1:6" s="28" customFormat="1" ht="24" x14ac:dyDescent="0.25">
      <c r="A126" s="13"/>
      <c r="B126" s="26" t="s">
        <v>88</v>
      </c>
      <c r="C126" s="30" t="s">
        <v>141</v>
      </c>
      <c r="D126" s="27"/>
      <c r="F126" s="27">
        <f>6.2*1000</f>
        <v>6200</v>
      </c>
    </row>
    <row r="127" spans="1:6" s="28" customFormat="1" x14ac:dyDescent="0.25">
      <c r="B127" s="26"/>
      <c r="C127" s="18" t="s">
        <v>21</v>
      </c>
      <c r="D127" s="27"/>
      <c r="F127" s="29">
        <f>SUM(F125:F126)</f>
        <v>16200</v>
      </c>
    </row>
    <row r="128" spans="1:6" s="28" customFormat="1" x14ac:dyDescent="0.25">
      <c r="B128" s="26"/>
      <c r="C128" s="18"/>
      <c r="D128" s="27"/>
      <c r="F128" s="27"/>
    </row>
    <row r="129" spans="1:6" s="25" customFormat="1" x14ac:dyDescent="0.25">
      <c r="A129" s="13" t="s">
        <v>25</v>
      </c>
      <c r="B129" s="26"/>
      <c r="C129" s="18"/>
      <c r="D129" s="27"/>
      <c r="E129" s="28"/>
      <c r="F129" s="27"/>
    </row>
    <row r="130" spans="1:6" s="25" customFormat="1" ht="24" x14ac:dyDescent="0.25">
      <c r="A130" s="28"/>
      <c r="B130" s="33" t="s">
        <v>3</v>
      </c>
      <c r="C130" s="33" t="s">
        <v>142</v>
      </c>
      <c r="D130" s="27">
        <f>0.75*1000</f>
        <v>750</v>
      </c>
      <c r="E130" s="28"/>
      <c r="F130" s="27"/>
    </row>
    <row r="131" spans="1:6" s="25" customFormat="1" ht="24" x14ac:dyDescent="0.25">
      <c r="A131" s="28"/>
      <c r="B131" s="33" t="s">
        <v>3</v>
      </c>
      <c r="C131" s="33" t="s">
        <v>58</v>
      </c>
      <c r="D131" s="27">
        <f t="shared" ref="D131:D132" si="0">0.5*1000</f>
        <v>500</v>
      </c>
      <c r="E131" s="28"/>
      <c r="F131" s="27"/>
    </row>
    <row r="132" spans="1:6" s="25" customFormat="1" ht="24" x14ac:dyDescent="0.25">
      <c r="A132" s="28"/>
      <c r="B132" s="33" t="s">
        <v>17</v>
      </c>
      <c r="C132" s="33" t="s">
        <v>143</v>
      </c>
      <c r="D132" s="27">
        <f t="shared" si="0"/>
        <v>500</v>
      </c>
      <c r="E132" s="28"/>
      <c r="F132" s="27"/>
    </row>
    <row r="133" spans="1:6" s="25" customFormat="1" ht="24" x14ac:dyDescent="0.25">
      <c r="A133" s="28"/>
      <c r="B133" s="33" t="s">
        <v>5</v>
      </c>
      <c r="C133" s="33" t="s">
        <v>136</v>
      </c>
      <c r="D133" s="27">
        <f>0.75*1000</f>
        <v>750</v>
      </c>
      <c r="E133" s="28"/>
      <c r="F133" s="27"/>
    </row>
    <row r="134" spans="1:6" s="25" customFormat="1" x14ac:dyDescent="0.25">
      <c r="A134" s="28"/>
      <c r="B134" s="33" t="s">
        <v>9</v>
      </c>
      <c r="C134" s="33" t="s">
        <v>89</v>
      </c>
      <c r="D134" s="27">
        <f>1*1000</f>
        <v>1000</v>
      </c>
      <c r="E134" s="28"/>
      <c r="F134" s="27"/>
    </row>
    <row r="135" spans="1:6" s="25" customFormat="1" x14ac:dyDescent="0.25">
      <c r="A135" s="28"/>
      <c r="B135" s="33" t="s">
        <v>23</v>
      </c>
      <c r="C135" s="33" t="s">
        <v>86</v>
      </c>
      <c r="D135" s="27">
        <f>1*1000</f>
        <v>1000</v>
      </c>
      <c r="E135" s="28"/>
      <c r="F135" s="27"/>
    </row>
    <row r="136" spans="1:6" s="25" customFormat="1" ht="24" x14ac:dyDescent="0.25">
      <c r="A136" s="28"/>
      <c r="B136" s="33" t="s">
        <v>11</v>
      </c>
      <c r="C136" s="33" t="s">
        <v>144</v>
      </c>
      <c r="D136" s="27">
        <f>1.5*1000</f>
        <v>1500</v>
      </c>
      <c r="E136" s="28"/>
      <c r="F136" s="27"/>
    </row>
    <row r="137" spans="1:6" s="25" customFormat="1" ht="24" x14ac:dyDescent="0.25">
      <c r="A137" s="28"/>
      <c r="B137" s="33" t="s">
        <v>11</v>
      </c>
      <c r="C137" s="33" t="s">
        <v>33</v>
      </c>
      <c r="D137" s="27">
        <f>1*1000</f>
        <v>1000</v>
      </c>
      <c r="E137" s="28"/>
      <c r="F137" s="27"/>
    </row>
    <row r="138" spans="1:6" s="25" customFormat="1" ht="24" x14ac:dyDescent="0.25">
      <c r="A138" s="28"/>
      <c r="B138" s="33" t="s">
        <v>11</v>
      </c>
      <c r="C138" s="33" t="s">
        <v>145</v>
      </c>
      <c r="D138" s="27">
        <f>0.5*1000</f>
        <v>500</v>
      </c>
      <c r="E138" s="28"/>
      <c r="F138" s="27"/>
    </row>
    <row r="139" spans="1:6" s="25" customFormat="1" ht="24" x14ac:dyDescent="0.25">
      <c r="A139" s="28"/>
      <c r="B139" s="33" t="s">
        <v>11</v>
      </c>
      <c r="C139" s="30" t="s">
        <v>146</v>
      </c>
      <c r="D139" s="27">
        <f>0.4*1000</f>
        <v>400</v>
      </c>
      <c r="E139" s="28"/>
      <c r="F139" s="27"/>
    </row>
    <row r="140" spans="1:6" s="25" customFormat="1" ht="24" x14ac:dyDescent="0.25">
      <c r="A140" s="28"/>
      <c r="B140" s="33" t="s">
        <v>11</v>
      </c>
      <c r="C140" s="33" t="s">
        <v>147</v>
      </c>
      <c r="D140" s="27">
        <f>0.5*1000</f>
        <v>500</v>
      </c>
      <c r="E140" s="28"/>
      <c r="F140" s="27"/>
    </row>
    <row r="141" spans="1:6" s="25" customFormat="1" ht="24" x14ac:dyDescent="0.25">
      <c r="A141" s="28"/>
      <c r="B141" s="33" t="s">
        <v>11</v>
      </c>
      <c r="C141" s="33" t="s">
        <v>34</v>
      </c>
      <c r="D141" s="27">
        <f>0.5*1000</f>
        <v>500</v>
      </c>
      <c r="E141" s="28"/>
      <c r="F141" s="27"/>
    </row>
    <row r="142" spans="1:6" s="25" customFormat="1" ht="36" x14ac:dyDescent="0.25">
      <c r="A142" s="28"/>
      <c r="B142" s="33" t="s">
        <v>11</v>
      </c>
      <c r="C142" s="33" t="s">
        <v>148</v>
      </c>
      <c r="D142" s="27">
        <f>0.5*1000</f>
        <v>500</v>
      </c>
      <c r="E142" s="28"/>
      <c r="F142" s="27"/>
    </row>
    <row r="143" spans="1:6" s="25" customFormat="1" ht="24" x14ac:dyDescent="0.25">
      <c r="A143" s="28"/>
      <c r="B143" s="33" t="s">
        <v>11</v>
      </c>
      <c r="C143" s="33" t="s">
        <v>188</v>
      </c>
      <c r="D143" s="27">
        <f>0.3*1000</f>
        <v>300</v>
      </c>
      <c r="E143" s="28"/>
      <c r="F143" s="27"/>
    </row>
    <row r="144" spans="1:6" s="25" customFormat="1" x14ac:dyDescent="0.25">
      <c r="A144" s="28"/>
      <c r="B144" s="32"/>
      <c r="C144" s="18" t="s">
        <v>21</v>
      </c>
      <c r="D144" s="29">
        <f>SUM(D130:D143)</f>
        <v>9700</v>
      </c>
      <c r="E144" s="28"/>
      <c r="F144" s="31"/>
    </row>
    <row r="145" spans="1:6" s="25" customFormat="1" x14ac:dyDescent="0.25">
      <c r="A145" s="28"/>
      <c r="B145" s="33"/>
      <c r="C145" s="33"/>
      <c r="D145" s="27"/>
      <c r="E145" s="28"/>
      <c r="F145" s="27"/>
    </row>
    <row r="146" spans="1:6" s="25" customFormat="1" x14ac:dyDescent="0.25">
      <c r="A146" s="20" t="s">
        <v>18</v>
      </c>
      <c r="B146" s="32"/>
      <c r="C146" s="33"/>
      <c r="D146" s="27"/>
      <c r="E146" s="28"/>
      <c r="F146" s="27"/>
    </row>
    <row r="147" spans="1:6" s="25" customFormat="1" ht="24" x14ac:dyDescent="0.25">
      <c r="A147" s="20"/>
      <c r="B147" s="32" t="s">
        <v>9</v>
      </c>
      <c r="C147" s="33" t="s">
        <v>149</v>
      </c>
      <c r="D147" s="27">
        <f>0.13*1000</f>
        <v>130</v>
      </c>
      <c r="E147" s="28"/>
      <c r="F147" s="27"/>
    </row>
    <row r="148" spans="1:6" s="25" customFormat="1" x14ac:dyDescent="0.25">
      <c r="A148" s="28"/>
      <c r="B148" s="32"/>
      <c r="C148" s="18" t="s">
        <v>21</v>
      </c>
      <c r="D148" s="29">
        <f>SUM(D147)</f>
        <v>130</v>
      </c>
      <c r="E148" s="28"/>
      <c r="F148" s="27"/>
    </row>
    <row r="149" spans="1:6" s="25" customFormat="1" x14ac:dyDescent="0.25">
      <c r="A149" s="28"/>
      <c r="B149" s="32"/>
      <c r="C149" s="18"/>
      <c r="D149" s="12"/>
      <c r="E149" s="28"/>
      <c r="F149" s="27"/>
    </row>
    <row r="150" spans="1:6" s="47" customFormat="1" x14ac:dyDescent="0.25">
      <c r="A150" s="13" t="s">
        <v>90</v>
      </c>
      <c r="B150" s="15"/>
      <c r="C150" s="18"/>
      <c r="D150" s="17"/>
      <c r="E150" s="43"/>
      <c r="F150" s="44"/>
    </row>
    <row r="151" spans="1:6" s="47" customFormat="1" ht="36" x14ac:dyDescent="0.25">
      <c r="A151" s="13"/>
      <c r="B151" s="15" t="s">
        <v>91</v>
      </c>
      <c r="C151" s="15" t="s">
        <v>150</v>
      </c>
      <c r="D151" s="17">
        <f>0.6*1000</f>
        <v>600</v>
      </c>
      <c r="E151" s="43"/>
      <c r="F151" s="44"/>
    </row>
    <row r="152" spans="1:6" s="47" customFormat="1" ht="24" x14ac:dyDescent="0.25">
      <c r="A152" s="14"/>
      <c r="B152" s="15" t="s">
        <v>5</v>
      </c>
      <c r="C152" s="15" t="s">
        <v>151</v>
      </c>
      <c r="D152" s="17">
        <f>0.5*1000</f>
        <v>500</v>
      </c>
      <c r="E152" s="43"/>
      <c r="F152" s="44"/>
    </row>
    <row r="153" spans="1:6" s="47" customFormat="1" x14ac:dyDescent="0.25">
      <c r="A153" s="14"/>
      <c r="B153" s="15"/>
      <c r="C153" s="18" t="s">
        <v>21</v>
      </c>
      <c r="D153" s="48">
        <f>SUM(D151:D152)</f>
        <v>1100</v>
      </c>
      <c r="E153" s="43"/>
      <c r="F153" s="44"/>
    </row>
    <row r="154" spans="1:6" s="47" customFormat="1" x14ac:dyDescent="0.25">
      <c r="A154" s="43"/>
      <c r="B154" s="49"/>
      <c r="C154" s="50"/>
      <c r="D154" s="51"/>
      <c r="E154" s="43"/>
      <c r="F154" s="44"/>
    </row>
    <row r="155" spans="1:6" s="25" customFormat="1" x14ac:dyDescent="0.25">
      <c r="A155" s="13" t="s">
        <v>92</v>
      </c>
      <c r="B155" s="28"/>
      <c r="C155" s="18"/>
      <c r="D155" s="27"/>
      <c r="E155" s="28"/>
      <c r="F155" s="27"/>
    </row>
    <row r="156" spans="1:6" s="25" customFormat="1" ht="24" x14ac:dyDescent="0.25">
      <c r="A156" s="13"/>
      <c r="B156" s="28" t="s">
        <v>48</v>
      </c>
      <c r="C156" s="30" t="s">
        <v>152</v>
      </c>
      <c r="D156" s="27">
        <f>0.5*1000</f>
        <v>500</v>
      </c>
      <c r="E156" s="28"/>
      <c r="F156" s="27"/>
    </row>
    <row r="157" spans="1:6" s="25" customFormat="1" x14ac:dyDescent="0.25">
      <c r="A157" s="13"/>
      <c r="B157" s="28" t="s">
        <v>11</v>
      </c>
      <c r="C157" s="30" t="s">
        <v>93</v>
      </c>
      <c r="D157" s="27">
        <f>0.5*1000</f>
        <v>500</v>
      </c>
      <c r="E157" s="28"/>
      <c r="F157" s="12"/>
    </row>
    <row r="158" spans="1:6" s="25" customFormat="1" x14ac:dyDescent="0.25">
      <c r="A158" s="13"/>
      <c r="B158" s="28"/>
      <c r="C158" s="18" t="s">
        <v>21</v>
      </c>
      <c r="D158" s="29">
        <f>SUM(D156:D157)</f>
        <v>1000</v>
      </c>
      <c r="E158" s="28"/>
      <c r="F158" s="12"/>
    </row>
    <row r="159" spans="1:6" s="25" customFormat="1" x14ac:dyDescent="0.25">
      <c r="A159" s="28"/>
      <c r="B159" s="32"/>
      <c r="C159" s="18"/>
      <c r="D159" s="12"/>
      <c r="E159" s="28"/>
      <c r="F159" s="27"/>
    </row>
    <row r="160" spans="1:6" s="25" customFormat="1" x14ac:dyDescent="0.25">
      <c r="A160" s="13" t="s">
        <v>94</v>
      </c>
      <c r="B160" s="28"/>
      <c r="C160" s="18"/>
      <c r="D160" s="27"/>
      <c r="E160" s="28"/>
      <c r="F160" s="27"/>
    </row>
    <row r="161" spans="1:6" s="25" customFormat="1" ht="24" x14ac:dyDescent="0.25">
      <c r="A161" s="13"/>
      <c r="B161" s="28" t="s">
        <v>6</v>
      </c>
      <c r="C161" s="30" t="s">
        <v>128</v>
      </c>
      <c r="D161" s="27">
        <f>0.2*1000</f>
        <v>200</v>
      </c>
      <c r="E161" s="28"/>
      <c r="F161" s="27"/>
    </row>
    <row r="162" spans="1:6" s="25" customFormat="1" ht="24" x14ac:dyDescent="0.25">
      <c r="A162" s="13"/>
      <c r="B162" s="28" t="s">
        <v>11</v>
      </c>
      <c r="C162" s="30" t="s">
        <v>144</v>
      </c>
      <c r="D162" s="27">
        <f>1.5*1000</f>
        <v>1500</v>
      </c>
      <c r="E162" s="28"/>
      <c r="F162" s="12"/>
    </row>
    <row r="163" spans="1:6" s="25" customFormat="1" x14ac:dyDescent="0.25">
      <c r="A163" s="13"/>
      <c r="B163" s="28"/>
      <c r="C163" s="18" t="s">
        <v>21</v>
      </c>
      <c r="D163" s="29">
        <f>SUM(D161:D162)</f>
        <v>1700</v>
      </c>
      <c r="E163" s="28"/>
      <c r="F163" s="12"/>
    </row>
    <row r="164" spans="1:6" s="25" customFormat="1" x14ac:dyDescent="0.25">
      <c r="A164" s="28"/>
      <c r="B164" s="32"/>
      <c r="C164" s="18"/>
      <c r="D164" s="12"/>
      <c r="E164" s="28"/>
      <c r="F164" s="27"/>
    </row>
    <row r="165" spans="1:6" s="25" customFormat="1" x14ac:dyDescent="0.25">
      <c r="A165" s="13" t="s">
        <v>189</v>
      </c>
      <c r="B165" s="28"/>
      <c r="C165" s="26"/>
      <c r="D165" s="16">
        <f>SUM(D169,D173,D181,D185,D190,D200,D204,D211,D215,D221)</f>
        <v>30000</v>
      </c>
      <c r="E165" s="16"/>
      <c r="F165" s="16">
        <f>F169+F173+F181+F185+F190+F200+F204+F153+F211+F215+F221</f>
        <v>6980</v>
      </c>
    </row>
    <row r="166" spans="1:6" s="25" customFormat="1" x14ac:dyDescent="0.25">
      <c r="A166" s="13" t="s">
        <v>95</v>
      </c>
      <c r="B166" s="28"/>
      <c r="C166" s="26"/>
      <c r="D166" s="27"/>
      <c r="E166" s="28"/>
      <c r="F166" s="27"/>
    </row>
    <row r="167" spans="1:6" s="25" customFormat="1" ht="24" x14ac:dyDescent="0.25">
      <c r="A167" s="28"/>
      <c r="B167" s="26" t="s">
        <v>49</v>
      </c>
      <c r="C167" s="26" t="s">
        <v>153</v>
      </c>
      <c r="D167" s="27">
        <f>0.3*1000</f>
        <v>300</v>
      </c>
      <c r="E167" s="28"/>
      <c r="F167" s="27"/>
    </row>
    <row r="168" spans="1:6" s="25" customFormat="1" ht="24" x14ac:dyDescent="0.25">
      <c r="A168" s="28"/>
      <c r="B168" s="26" t="s">
        <v>88</v>
      </c>
      <c r="C168" s="26" t="s">
        <v>141</v>
      </c>
      <c r="D168" s="27"/>
      <c r="E168" s="28"/>
      <c r="F168" s="27">
        <f>3.8*1000</f>
        <v>3800</v>
      </c>
    </row>
    <row r="169" spans="1:6" s="25" customFormat="1" x14ac:dyDescent="0.25">
      <c r="A169" s="28"/>
      <c r="B169" s="26"/>
      <c r="C169" s="18" t="s">
        <v>21</v>
      </c>
      <c r="D169" s="29">
        <f>SUM(D167:D168)</f>
        <v>300</v>
      </c>
      <c r="E169" s="28"/>
      <c r="F169" s="29">
        <f>SUM(F167:F168)</f>
        <v>3800</v>
      </c>
    </row>
    <row r="170" spans="1:6" s="25" customFormat="1" x14ac:dyDescent="0.25">
      <c r="A170" s="28"/>
      <c r="B170" s="26"/>
      <c r="C170" s="18"/>
      <c r="D170" s="27"/>
      <c r="E170" s="28"/>
      <c r="F170" s="27"/>
    </row>
    <row r="171" spans="1:6" s="25" customFormat="1" ht="24.75" customHeight="1" x14ac:dyDescent="0.25">
      <c r="A171" s="60" t="s">
        <v>182</v>
      </c>
      <c r="B171" s="60"/>
      <c r="C171" s="60"/>
      <c r="D171" s="27"/>
      <c r="E171" s="28"/>
      <c r="F171" s="27"/>
    </row>
    <row r="172" spans="1:6" s="25" customFormat="1" ht="24" x14ac:dyDescent="0.25">
      <c r="A172" s="28"/>
      <c r="B172" s="26" t="s">
        <v>11</v>
      </c>
      <c r="C172" s="26" t="s">
        <v>34</v>
      </c>
      <c r="D172" s="27">
        <f>5*1000</f>
        <v>5000</v>
      </c>
      <c r="E172" s="28"/>
      <c r="F172" s="27"/>
    </row>
    <row r="173" spans="1:6" s="25" customFormat="1" x14ac:dyDescent="0.25">
      <c r="A173" s="28"/>
      <c r="B173" s="26"/>
      <c r="C173" s="18" t="s">
        <v>21</v>
      </c>
      <c r="D173" s="29">
        <f>SUM(D172)</f>
        <v>5000</v>
      </c>
      <c r="E173" s="28"/>
      <c r="F173" s="27"/>
    </row>
    <row r="174" spans="1:6" s="25" customFormat="1" x14ac:dyDescent="0.25">
      <c r="A174" s="28"/>
      <c r="B174" s="26"/>
      <c r="C174" s="18"/>
      <c r="D174" s="27"/>
      <c r="E174" s="28"/>
      <c r="F174" s="27"/>
    </row>
    <row r="175" spans="1:6" s="25" customFormat="1" x14ac:dyDescent="0.25">
      <c r="A175" s="13" t="s">
        <v>50</v>
      </c>
      <c r="B175" s="28"/>
      <c r="C175" s="26"/>
      <c r="D175" s="27"/>
      <c r="E175" s="28"/>
      <c r="F175" s="27"/>
    </row>
    <row r="176" spans="1:6" s="25" customFormat="1" ht="24" x14ac:dyDescent="0.25">
      <c r="A176" s="13"/>
      <c r="B176" s="28" t="s">
        <v>4</v>
      </c>
      <c r="C176" s="26" t="s">
        <v>154</v>
      </c>
      <c r="D176" s="27">
        <f>0.5*1000</f>
        <v>500</v>
      </c>
      <c r="E176" s="28"/>
      <c r="F176" s="27"/>
    </row>
    <row r="177" spans="1:6" s="25" customFormat="1" ht="24" x14ac:dyDescent="0.25">
      <c r="A177" s="13"/>
      <c r="B177" s="26" t="s">
        <v>23</v>
      </c>
      <c r="C177" s="26" t="s">
        <v>155</v>
      </c>
      <c r="D177" s="27">
        <f>1*1000</f>
        <v>1000</v>
      </c>
      <c r="E177" s="28"/>
      <c r="F177" s="27"/>
    </row>
    <row r="178" spans="1:6" s="25" customFormat="1" x14ac:dyDescent="0.25">
      <c r="A178" s="13"/>
      <c r="B178" s="26" t="s">
        <v>22</v>
      </c>
      <c r="C178" s="26" t="s">
        <v>96</v>
      </c>
      <c r="D178" s="27">
        <f>1*1000</f>
        <v>1000</v>
      </c>
      <c r="E178" s="28"/>
      <c r="F178" s="27"/>
    </row>
    <row r="179" spans="1:6" s="25" customFormat="1" ht="24" x14ac:dyDescent="0.25">
      <c r="A179" s="13"/>
      <c r="B179" s="26" t="s">
        <v>11</v>
      </c>
      <c r="C179" s="26" t="s">
        <v>156</v>
      </c>
      <c r="D179" s="27">
        <f>1.25*1000</f>
        <v>1250</v>
      </c>
      <c r="E179" s="28"/>
      <c r="F179" s="27"/>
    </row>
    <row r="180" spans="1:6" s="25" customFormat="1" ht="24" x14ac:dyDescent="0.25">
      <c r="A180" s="28"/>
      <c r="B180" s="26" t="s">
        <v>11</v>
      </c>
      <c r="C180" s="26" t="s">
        <v>157</v>
      </c>
      <c r="D180" s="27">
        <f>3*1000</f>
        <v>3000</v>
      </c>
      <c r="E180" s="28"/>
      <c r="F180" s="27"/>
    </row>
    <row r="181" spans="1:6" s="25" customFormat="1" x14ac:dyDescent="0.25">
      <c r="A181" s="28"/>
      <c r="B181" s="26"/>
      <c r="C181" s="18" t="s">
        <v>21</v>
      </c>
      <c r="D181" s="29">
        <f>SUM(D176:D180)</f>
        <v>6750</v>
      </c>
      <c r="E181" s="28"/>
      <c r="F181" s="27"/>
    </row>
    <row r="182" spans="1:6" s="25" customFormat="1" x14ac:dyDescent="0.25">
      <c r="A182" s="13"/>
      <c r="B182" s="26"/>
      <c r="C182" s="18"/>
      <c r="D182" s="27"/>
      <c r="E182" s="28"/>
      <c r="F182" s="27"/>
    </row>
    <row r="183" spans="1:6" s="25" customFormat="1" ht="24.75" customHeight="1" x14ac:dyDescent="0.25">
      <c r="A183" s="60" t="s">
        <v>190</v>
      </c>
      <c r="B183" s="60"/>
      <c r="C183" s="60"/>
      <c r="D183" s="27"/>
      <c r="E183" s="28"/>
      <c r="F183" s="27"/>
    </row>
    <row r="184" spans="1:6" s="25" customFormat="1" ht="24" x14ac:dyDescent="0.25">
      <c r="A184" s="28"/>
      <c r="B184" s="26" t="s">
        <v>11</v>
      </c>
      <c r="C184" s="26" t="s">
        <v>158</v>
      </c>
      <c r="D184" s="27">
        <f>1.5*1000</f>
        <v>1500</v>
      </c>
      <c r="E184" s="28"/>
      <c r="F184" s="27"/>
    </row>
    <row r="185" spans="1:6" s="25" customFormat="1" x14ac:dyDescent="0.25">
      <c r="A185" s="28"/>
      <c r="B185" s="26"/>
      <c r="C185" s="18" t="s">
        <v>21</v>
      </c>
      <c r="D185" s="29">
        <f>SUM(D184)</f>
        <v>1500</v>
      </c>
      <c r="E185" s="28"/>
      <c r="F185" s="27"/>
    </row>
    <row r="186" spans="1:6" s="25" customFormat="1" x14ac:dyDescent="0.25">
      <c r="A186" s="28"/>
      <c r="B186" s="26"/>
      <c r="C186" s="18"/>
      <c r="D186" s="27"/>
      <c r="E186" s="28"/>
      <c r="F186" s="27"/>
    </row>
    <row r="187" spans="1:6" s="25" customFormat="1" ht="24.75" customHeight="1" x14ac:dyDescent="0.25">
      <c r="A187" s="60" t="s">
        <v>191</v>
      </c>
      <c r="B187" s="60"/>
      <c r="C187" s="60"/>
      <c r="D187" s="27"/>
      <c r="E187" s="28"/>
      <c r="F187" s="27"/>
    </row>
    <row r="188" spans="1:6" s="25" customFormat="1" ht="24" x14ac:dyDescent="0.25">
      <c r="A188" s="28"/>
      <c r="B188" s="26" t="s">
        <v>6</v>
      </c>
      <c r="C188" s="26" t="s">
        <v>128</v>
      </c>
      <c r="D188" s="27">
        <f>1*1000</f>
        <v>1000</v>
      </c>
      <c r="E188" s="28"/>
      <c r="F188" s="27"/>
    </row>
    <row r="189" spans="1:6" s="25" customFormat="1" ht="24" x14ac:dyDescent="0.25">
      <c r="A189" s="28"/>
      <c r="B189" s="26" t="s">
        <v>11</v>
      </c>
      <c r="C189" s="26" t="s">
        <v>33</v>
      </c>
      <c r="D189" s="27">
        <f>2*1000</f>
        <v>2000</v>
      </c>
      <c r="E189" s="28"/>
      <c r="F189" s="27"/>
    </row>
    <row r="190" spans="1:6" s="25" customFormat="1" x14ac:dyDescent="0.25">
      <c r="A190" s="28"/>
      <c r="B190" s="26"/>
      <c r="C190" s="18" t="s">
        <v>21</v>
      </c>
      <c r="D190" s="29">
        <f>SUM(D188:D189)</f>
        <v>3000</v>
      </c>
      <c r="E190" s="28"/>
      <c r="F190" s="27"/>
    </row>
    <row r="191" spans="1:6" s="25" customFormat="1" x14ac:dyDescent="0.25">
      <c r="A191" s="28"/>
      <c r="B191" s="26"/>
      <c r="C191" s="18"/>
      <c r="D191" s="27"/>
      <c r="E191" s="28"/>
      <c r="F191" s="27"/>
    </row>
    <row r="192" spans="1:6" s="25" customFormat="1" x14ac:dyDescent="0.25">
      <c r="A192" s="13" t="s">
        <v>97</v>
      </c>
      <c r="B192" s="19"/>
      <c r="C192" s="26"/>
      <c r="D192" s="27"/>
      <c r="E192" s="28"/>
      <c r="F192" s="27"/>
    </row>
    <row r="193" spans="1:6" s="25" customFormat="1" ht="36" x14ac:dyDescent="0.25">
      <c r="A193" s="28"/>
      <c r="B193" s="26" t="s">
        <v>4</v>
      </c>
      <c r="C193" s="26" t="s">
        <v>159</v>
      </c>
      <c r="D193" s="27">
        <f>0.85*1000</f>
        <v>850</v>
      </c>
      <c r="E193" s="28"/>
      <c r="F193" s="27"/>
    </row>
    <row r="194" spans="1:6" s="25" customFormat="1" ht="24" x14ac:dyDescent="0.25">
      <c r="A194" s="28"/>
      <c r="B194" s="26" t="s">
        <v>17</v>
      </c>
      <c r="C194" s="26" t="s">
        <v>160</v>
      </c>
      <c r="D194" s="27">
        <f>0.3*1000</f>
        <v>300</v>
      </c>
      <c r="E194" s="28"/>
      <c r="F194" s="27"/>
    </row>
    <row r="195" spans="1:6" s="25" customFormat="1" x14ac:dyDescent="0.25">
      <c r="A195" s="28"/>
      <c r="B195" s="26" t="s">
        <v>7</v>
      </c>
      <c r="C195" s="26" t="s">
        <v>114</v>
      </c>
      <c r="D195" s="27"/>
      <c r="E195" s="28"/>
      <c r="F195" s="27">
        <f>0.68*1000</f>
        <v>680</v>
      </c>
    </row>
    <row r="196" spans="1:6" s="25" customFormat="1" x14ac:dyDescent="0.25">
      <c r="A196" s="28"/>
      <c r="B196" s="26" t="s">
        <v>22</v>
      </c>
      <c r="C196" s="26" t="s">
        <v>98</v>
      </c>
      <c r="D196" s="27"/>
      <c r="E196" s="28"/>
      <c r="F196" s="27">
        <f>0.5*1000</f>
        <v>500</v>
      </c>
    </row>
    <row r="197" spans="1:6" s="25" customFormat="1" x14ac:dyDescent="0.25">
      <c r="A197" s="28"/>
      <c r="B197" s="26" t="s">
        <v>11</v>
      </c>
      <c r="C197" s="26" t="s">
        <v>31</v>
      </c>
      <c r="D197" s="27">
        <f>0.45*1000</f>
        <v>450</v>
      </c>
      <c r="E197" s="28"/>
      <c r="F197" s="27"/>
    </row>
    <row r="198" spans="1:6" s="25" customFormat="1" ht="24" x14ac:dyDescent="0.25">
      <c r="A198" s="28"/>
      <c r="B198" s="26" t="s">
        <v>11</v>
      </c>
      <c r="C198" s="26" t="s">
        <v>161</v>
      </c>
      <c r="D198" s="27">
        <f>0.65*1000</f>
        <v>650</v>
      </c>
      <c r="E198" s="28"/>
      <c r="F198" s="27"/>
    </row>
    <row r="199" spans="1:6" s="25" customFormat="1" ht="36" x14ac:dyDescent="0.25">
      <c r="A199" s="28"/>
      <c r="B199" s="26" t="s">
        <v>11</v>
      </c>
      <c r="C199" s="26" t="s">
        <v>162</v>
      </c>
      <c r="D199" s="27">
        <f>0.7*1000</f>
        <v>700</v>
      </c>
      <c r="E199" s="28"/>
      <c r="F199" s="27"/>
    </row>
    <row r="200" spans="1:6" s="25" customFormat="1" x14ac:dyDescent="0.25">
      <c r="A200" s="28"/>
      <c r="B200" s="26"/>
      <c r="C200" s="18" t="s">
        <v>21</v>
      </c>
      <c r="D200" s="29">
        <f>SUM(D193:D199)</f>
        <v>2950</v>
      </c>
      <c r="E200" s="28"/>
      <c r="F200" s="29">
        <f>SUM(F193:F199)</f>
        <v>1180</v>
      </c>
    </row>
    <row r="201" spans="1:6" s="25" customFormat="1" x14ac:dyDescent="0.25">
      <c r="A201" s="28"/>
      <c r="B201" s="26"/>
      <c r="C201" s="18"/>
      <c r="D201" s="12"/>
      <c r="E201" s="28"/>
      <c r="F201" s="12"/>
    </row>
    <row r="202" spans="1:6" s="25" customFormat="1" ht="24.75" customHeight="1" x14ac:dyDescent="0.25">
      <c r="A202" s="60" t="s">
        <v>185</v>
      </c>
      <c r="B202" s="60"/>
      <c r="C202" s="60"/>
      <c r="D202" s="60"/>
      <c r="E202" s="60"/>
      <c r="F202" s="60"/>
    </row>
    <row r="203" spans="1:6" s="25" customFormat="1" ht="24" x14ac:dyDescent="0.25">
      <c r="A203" s="28"/>
      <c r="B203" s="26" t="s">
        <v>11</v>
      </c>
      <c r="C203" s="26" t="s">
        <v>131</v>
      </c>
      <c r="D203" s="27">
        <f>0.65*1000</f>
        <v>650</v>
      </c>
      <c r="E203" s="28"/>
      <c r="F203" s="27"/>
    </row>
    <row r="204" spans="1:6" s="25" customFormat="1" x14ac:dyDescent="0.25">
      <c r="A204" s="28"/>
      <c r="B204" s="26"/>
      <c r="C204" s="18" t="s">
        <v>21</v>
      </c>
      <c r="D204" s="29">
        <f>SUM(D203)</f>
        <v>650</v>
      </c>
      <c r="E204" s="28"/>
      <c r="F204" s="27"/>
    </row>
    <row r="205" spans="1:6" s="25" customFormat="1" x14ac:dyDescent="0.25">
      <c r="A205" s="28"/>
      <c r="B205" s="26"/>
      <c r="C205" s="18"/>
      <c r="D205" s="12"/>
      <c r="E205" s="28"/>
      <c r="F205" s="27"/>
    </row>
    <row r="206" spans="1:6" s="25" customFormat="1" x14ac:dyDescent="0.25">
      <c r="A206" s="13" t="s">
        <v>99</v>
      </c>
      <c r="B206" s="26"/>
      <c r="C206" s="18"/>
      <c r="D206" s="27"/>
      <c r="E206" s="28"/>
      <c r="F206" s="27"/>
    </row>
    <row r="207" spans="1:6" s="25" customFormat="1" ht="24" x14ac:dyDescent="0.25">
      <c r="A207" s="13"/>
      <c r="B207" s="26" t="s">
        <v>4</v>
      </c>
      <c r="C207" s="26" t="s">
        <v>163</v>
      </c>
      <c r="D207" s="27">
        <f>2.5*1000</f>
        <v>2500</v>
      </c>
      <c r="E207" s="28"/>
      <c r="F207" s="27"/>
    </row>
    <row r="208" spans="1:6" s="25" customFormat="1" ht="24" x14ac:dyDescent="0.25">
      <c r="A208" s="13"/>
      <c r="B208" s="26" t="s">
        <v>63</v>
      </c>
      <c r="C208" s="26" t="s">
        <v>130</v>
      </c>
      <c r="D208" s="27"/>
      <c r="E208" s="28"/>
      <c r="F208" s="27">
        <f>2*1000</f>
        <v>2000</v>
      </c>
    </row>
    <row r="209" spans="1:6" s="25" customFormat="1" ht="24" x14ac:dyDescent="0.25">
      <c r="A209" s="13"/>
      <c r="B209" s="26" t="s">
        <v>11</v>
      </c>
      <c r="C209" s="26" t="s">
        <v>164</v>
      </c>
      <c r="D209" s="27">
        <f>1.5*1000</f>
        <v>1500</v>
      </c>
      <c r="E209" s="28"/>
      <c r="F209" s="27"/>
    </row>
    <row r="210" spans="1:6" s="25" customFormat="1" ht="24" x14ac:dyDescent="0.25">
      <c r="A210" s="28"/>
      <c r="B210" s="26" t="s">
        <v>11</v>
      </c>
      <c r="C210" s="26" t="s">
        <v>165</v>
      </c>
      <c r="D210" s="27">
        <f>3*1000</f>
        <v>3000</v>
      </c>
      <c r="E210" s="28"/>
      <c r="F210" s="27"/>
    </row>
    <row r="211" spans="1:6" s="25" customFormat="1" x14ac:dyDescent="0.25">
      <c r="A211" s="28"/>
      <c r="B211" s="26"/>
      <c r="C211" s="18" t="s">
        <v>21</v>
      </c>
      <c r="D211" s="29">
        <f>SUM(D207:D210)</f>
        <v>7000</v>
      </c>
      <c r="E211" s="28"/>
      <c r="F211" s="29">
        <f>SUM(F207:F210)</f>
        <v>2000</v>
      </c>
    </row>
    <row r="212" spans="1:6" s="25" customFormat="1" x14ac:dyDescent="0.25">
      <c r="A212" s="28"/>
      <c r="B212" s="26"/>
      <c r="C212" s="18"/>
      <c r="D212" s="12"/>
      <c r="E212" s="28"/>
      <c r="F212" s="12"/>
    </row>
    <row r="213" spans="1:6" s="13" customFormat="1" x14ac:dyDescent="0.25">
      <c r="A213" s="13" t="s">
        <v>100</v>
      </c>
      <c r="B213" s="21"/>
      <c r="C213" s="21"/>
      <c r="D213" s="22"/>
      <c r="F213" s="22"/>
    </row>
    <row r="214" spans="1:6" s="25" customFormat="1" ht="24" x14ac:dyDescent="0.25">
      <c r="A214" s="28"/>
      <c r="B214" s="26" t="s">
        <v>11</v>
      </c>
      <c r="C214" s="26" t="s">
        <v>166</v>
      </c>
      <c r="D214" s="27">
        <f>0.1*1000</f>
        <v>100</v>
      </c>
      <c r="E214" s="28"/>
      <c r="F214" s="22"/>
    </row>
    <row r="215" spans="1:6" s="25" customFormat="1" x14ac:dyDescent="0.25">
      <c r="A215" s="28"/>
      <c r="B215" s="26"/>
      <c r="C215" s="18" t="s">
        <v>21</v>
      </c>
      <c r="D215" s="29">
        <f>SUM(D214:D214)</f>
        <v>100</v>
      </c>
      <c r="E215" s="28"/>
      <c r="F215" s="22"/>
    </row>
    <row r="216" spans="1:6" s="25" customFormat="1" x14ac:dyDescent="0.25">
      <c r="A216" s="28"/>
      <c r="B216" s="26"/>
      <c r="C216" s="18"/>
      <c r="D216" s="12"/>
      <c r="E216" s="28"/>
      <c r="F216" s="12"/>
    </row>
    <row r="217" spans="1:6" s="13" customFormat="1" x14ac:dyDescent="0.25">
      <c r="A217" s="13" t="s">
        <v>101</v>
      </c>
      <c r="B217" s="21"/>
      <c r="C217" s="21"/>
      <c r="D217" s="22"/>
      <c r="F217" s="22"/>
    </row>
    <row r="218" spans="1:6" s="13" customFormat="1" ht="24" x14ac:dyDescent="0.25">
      <c r="B218" s="26" t="s">
        <v>4</v>
      </c>
      <c r="C218" s="26" t="s">
        <v>35</v>
      </c>
      <c r="D218" s="27">
        <f>0.35*1000</f>
        <v>350</v>
      </c>
      <c r="F218" s="22"/>
    </row>
    <row r="219" spans="1:6" s="13" customFormat="1" ht="24" x14ac:dyDescent="0.25">
      <c r="B219" s="26" t="s">
        <v>11</v>
      </c>
      <c r="C219" s="26" t="s">
        <v>167</v>
      </c>
      <c r="D219" s="27">
        <f>2*1000</f>
        <v>2000</v>
      </c>
      <c r="F219" s="22"/>
    </row>
    <row r="220" spans="1:6" s="25" customFormat="1" x14ac:dyDescent="0.25">
      <c r="A220" s="28"/>
      <c r="B220" s="26" t="s">
        <v>11</v>
      </c>
      <c r="C220" s="26" t="s">
        <v>93</v>
      </c>
      <c r="D220" s="27">
        <f>0.4*1000</f>
        <v>400</v>
      </c>
      <c r="E220" s="28"/>
      <c r="F220" s="12"/>
    </row>
    <row r="221" spans="1:6" s="25" customFormat="1" x14ac:dyDescent="0.25">
      <c r="A221" s="28"/>
      <c r="B221" s="26"/>
      <c r="C221" s="18" t="s">
        <v>21</v>
      </c>
      <c r="D221" s="29">
        <f>SUM(D218:D220)</f>
        <v>2750</v>
      </c>
      <c r="E221" s="28"/>
      <c r="F221" s="12"/>
    </row>
    <row r="222" spans="1:6" s="25" customFormat="1" x14ac:dyDescent="0.25">
      <c r="A222" s="28"/>
      <c r="B222" s="26"/>
      <c r="C222" s="18"/>
      <c r="D222" s="27"/>
      <c r="E222" s="28"/>
      <c r="F222" s="27"/>
    </row>
    <row r="223" spans="1:6" s="25" customFormat="1" ht="13.5" x14ac:dyDescent="0.25">
      <c r="A223" s="13" t="s">
        <v>60</v>
      </c>
      <c r="B223" s="28"/>
      <c r="C223" s="26"/>
      <c r="D223" s="16">
        <f>D227+D233+D237+D242+D248+D252+D256+D261+D265+D269+D274</f>
        <v>6630.0779999999995</v>
      </c>
      <c r="E223" s="16"/>
      <c r="F223" s="16">
        <f>F227+F233+F237+F242+F248+F252+F256+F261+F265+F269+F274</f>
        <v>53097.500100000005</v>
      </c>
    </row>
    <row r="224" spans="1:6" s="25" customFormat="1" x14ac:dyDescent="0.25">
      <c r="A224" s="20" t="s">
        <v>51</v>
      </c>
      <c r="B224" s="32"/>
      <c r="C224" s="33"/>
      <c r="D224" s="27"/>
      <c r="E224" s="32"/>
      <c r="F224" s="27"/>
    </row>
    <row r="225" spans="1:6" s="25" customFormat="1" ht="24" x14ac:dyDescent="0.25">
      <c r="A225" s="20"/>
      <c r="B225" s="26" t="s">
        <v>88</v>
      </c>
      <c r="C225" s="33" t="s">
        <v>141</v>
      </c>
      <c r="D225" s="27"/>
      <c r="E225" s="32"/>
      <c r="F225" s="27">
        <f>5*1000</f>
        <v>5000</v>
      </c>
    </row>
    <row r="226" spans="1:6" s="25" customFormat="1" ht="24" x14ac:dyDescent="0.25">
      <c r="A226" s="20"/>
      <c r="B226" s="26" t="s">
        <v>11</v>
      </c>
      <c r="C226" s="33" t="s">
        <v>33</v>
      </c>
      <c r="D226" s="27">
        <f>1.15*1000</f>
        <v>1150</v>
      </c>
      <c r="E226" s="32"/>
      <c r="F226" s="27"/>
    </row>
    <row r="227" spans="1:6" s="25" customFormat="1" x14ac:dyDescent="0.25">
      <c r="A227" s="28"/>
      <c r="B227" s="33"/>
      <c r="C227" s="18" t="s">
        <v>21</v>
      </c>
      <c r="D227" s="29">
        <f>SUM(D225:D226)</f>
        <v>1150</v>
      </c>
      <c r="E227" s="32"/>
      <c r="F227" s="29">
        <f>SUM(F225:F226)</f>
        <v>5000</v>
      </c>
    </row>
    <row r="228" spans="1:6" s="25" customFormat="1" x14ac:dyDescent="0.25">
      <c r="A228" s="20"/>
      <c r="B228" s="26"/>
      <c r="C228" s="33"/>
      <c r="D228" s="27"/>
      <c r="E228" s="32"/>
      <c r="F228" s="27"/>
    </row>
    <row r="229" spans="1:6" s="25" customFormat="1" x14ac:dyDescent="0.25">
      <c r="A229" s="20" t="s">
        <v>52</v>
      </c>
      <c r="B229" s="32"/>
      <c r="C229" s="33"/>
      <c r="D229" s="27"/>
      <c r="E229" s="32"/>
      <c r="F229" s="27"/>
    </row>
    <row r="230" spans="1:6" s="25" customFormat="1" ht="24" x14ac:dyDescent="0.25">
      <c r="A230" s="20"/>
      <c r="B230" s="26" t="s">
        <v>55</v>
      </c>
      <c r="C230" s="33" t="s">
        <v>118</v>
      </c>
      <c r="D230" s="27"/>
      <c r="E230" s="32"/>
      <c r="F230" s="27">
        <f>2.7075001*1000</f>
        <v>2707.5000999999997</v>
      </c>
    </row>
    <row r="231" spans="1:6" s="25" customFormat="1" x14ac:dyDescent="0.25">
      <c r="A231" s="20"/>
      <c r="B231" s="26" t="s">
        <v>5</v>
      </c>
      <c r="C231" s="33" t="s">
        <v>41</v>
      </c>
      <c r="D231" s="27"/>
      <c r="E231" s="32"/>
      <c r="F231" s="27">
        <f>15.39*1000</f>
        <v>15390</v>
      </c>
    </row>
    <row r="232" spans="1:6" s="25" customFormat="1" ht="36" x14ac:dyDescent="0.25">
      <c r="A232" s="20"/>
      <c r="B232" s="26" t="s">
        <v>11</v>
      </c>
      <c r="C232" s="33" t="s">
        <v>123</v>
      </c>
      <c r="D232" s="27">
        <f>2.2*1000</f>
        <v>2200</v>
      </c>
      <c r="E232" s="32"/>
      <c r="F232" s="27"/>
    </row>
    <row r="233" spans="1:6" s="25" customFormat="1" x14ac:dyDescent="0.25">
      <c r="A233" s="28"/>
      <c r="B233" s="33"/>
      <c r="C233" s="18" t="s">
        <v>21</v>
      </c>
      <c r="D233" s="29">
        <f>SUM(D230:D232)</f>
        <v>2200</v>
      </c>
      <c r="E233" s="32"/>
      <c r="F233" s="29">
        <f>SUM(F230:F232)</f>
        <v>18097.500100000001</v>
      </c>
    </row>
    <row r="234" spans="1:6" s="25" customFormat="1" x14ac:dyDescent="0.25">
      <c r="A234" s="20"/>
      <c r="B234" s="26"/>
      <c r="C234" s="33"/>
      <c r="D234" s="27"/>
      <c r="E234" s="32"/>
      <c r="F234" s="27"/>
    </row>
    <row r="235" spans="1:6" s="25" customFormat="1" x14ac:dyDescent="0.25">
      <c r="A235" s="20" t="s">
        <v>53</v>
      </c>
      <c r="B235" s="32"/>
      <c r="C235" s="33"/>
      <c r="D235" s="27"/>
      <c r="E235" s="32"/>
      <c r="F235" s="27"/>
    </row>
    <row r="236" spans="1:6" s="25" customFormat="1" ht="24.75" customHeight="1" x14ac:dyDescent="0.25">
      <c r="A236" s="20"/>
      <c r="B236" s="33" t="s">
        <v>192</v>
      </c>
      <c r="C236" s="33" t="s">
        <v>168</v>
      </c>
      <c r="D236" s="27"/>
      <c r="E236" s="32"/>
      <c r="F236" s="31">
        <f>10*1000</f>
        <v>10000</v>
      </c>
    </row>
    <row r="237" spans="1:6" s="25" customFormat="1" x14ac:dyDescent="0.25">
      <c r="A237" s="28"/>
      <c r="B237" s="33"/>
      <c r="C237" s="18" t="s">
        <v>21</v>
      </c>
      <c r="D237" s="12"/>
      <c r="E237" s="32"/>
      <c r="F237" s="29">
        <f>SUM(F236:F236)</f>
        <v>10000</v>
      </c>
    </row>
    <row r="238" spans="1:6" s="25" customFormat="1" x14ac:dyDescent="0.25">
      <c r="A238" s="20"/>
      <c r="B238" s="26"/>
      <c r="C238" s="33"/>
      <c r="D238" s="27"/>
      <c r="E238" s="32"/>
      <c r="F238" s="27"/>
    </row>
    <row r="239" spans="1:6" s="25" customFormat="1" x14ac:dyDescent="0.25">
      <c r="A239" s="20" t="s">
        <v>10</v>
      </c>
      <c r="B239" s="32"/>
      <c r="C239" s="33"/>
      <c r="D239" s="27"/>
      <c r="E239" s="32"/>
      <c r="F239" s="27"/>
    </row>
    <row r="240" spans="1:6" s="25" customFormat="1" ht="24" x14ac:dyDescent="0.25">
      <c r="A240" s="20"/>
      <c r="B240" s="32" t="s">
        <v>63</v>
      </c>
      <c r="C240" s="33" t="s">
        <v>130</v>
      </c>
      <c r="D240" s="27"/>
      <c r="E240" s="32"/>
      <c r="F240" s="27">
        <f>3*1000</f>
        <v>3000</v>
      </c>
    </row>
    <row r="241" spans="1:6" s="25" customFormat="1" ht="36" x14ac:dyDescent="0.25">
      <c r="A241" s="20"/>
      <c r="B241" s="32" t="s">
        <v>11</v>
      </c>
      <c r="C241" s="33" t="s">
        <v>169</v>
      </c>
      <c r="D241" s="27">
        <f>0.029998*1000</f>
        <v>29.998000000000001</v>
      </c>
      <c r="E241" s="32"/>
      <c r="F241" s="31"/>
    </row>
    <row r="242" spans="1:6" s="25" customFormat="1" x14ac:dyDescent="0.25">
      <c r="A242" s="28"/>
      <c r="B242" s="33"/>
      <c r="C242" s="18" t="s">
        <v>21</v>
      </c>
      <c r="D242" s="29">
        <f>SUM(D240:D241)</f>
        <v>29.998000000000001</v>
      </c>
      <c r="E242" s="32"/>
      <c r="F242" s="29">
        <f>SUM(F240:F241)</f>
        <v>3000</v>
      </c>
    </row>
    <row r="243" spans="1:6" s="25" customFormat="1" x14ac:dyDescent="0.25">
      <c r="A243" s="28"/>
      <c r="B243" s="33"/>
      <c r="C243" s="26"/>
      <c r="D243" s="16"/>
      <c r="E243" s="16"/>
      <c r="F243" s="16"/>
    </row>
    <row r="244" spans="1:6" s="25" customFormat="1" x14ac:dyDescent="0.25">
      <c r="A244" s="20" t="s">
        <v>56</v>
      </c>
      <c r="B244" s="32"/>
      <c r="C244" s="33"/>
      <c r="D244" s="27"/>
      <c r="E244" s="32"/>
      <c r="F244" s="27"/>
    </row>
    <row r="245" spans="1:6" s="25" customFormat="1" ht="24" x14ac:dyDescent="0.25">
      <c r="A245" s="20"/>
      <c r="B245" s="32" t="s">
        <v>6</v>
      </c>
      <c r="C245" s="33" t="s">
        <v>128</v>
      </c>
      <c r="D245" s="27">
        <f>0.2*1000</f>
        <v>200</v>
      </c>
      <c r="E245" s="32"/>
      <c r="F245" s="31"/>
    </row>
    <row r="246" spans="1:6" s="25" customFormat="1" x14ac:dyDescent="0.25">
      <c r="A246" s="20"/>
      <c r="B246" s="32" t="s">
        <v>7</v>
      </c>
      <c r="C246" s="33" t="s">
        <v>102</v>
      </c>
      <c r="D246" s="27">
        <f>1*1000</f>
        <v>1000</v>
      </c>
      <c r="E246" s="32"/>
      <c r="F246" s="31"/>
    </row>
    <row r="247" spans="1:6" s="25" customFormat="1" ht="24" x14ac:dyDescent="0.25">
      <c r="A247" s="20"/>
      <c r="B247" s="32" t="s">
        <v>7</v>
      </c>
      <c r="C247" s="33" t="s">
        <v>170</v>
      </c>
      <c r="D247" s="27">
        <f>0.5*1000</f>
        <v>500</v>
      </c>
      <c r="E247" s="32"/>
      <c r="F247" s="31"/>
    </row>
    <row r="248" spans="1:6" s="25" customFormat="1" x14ac:dyDescent="0.25">
      <c r="A248" s="28"/>
      <c r="B248" s="33"/>
      <c r="C248" s="18" t="s">
        <v>21</v>
      </c>
      <c r="D248" s="29">
        <f>SUM(D245:D247)</f>
        <v>1700</v>
      </c>
      <c r="E248" s="32"/>
      <c r="F248" s="31"/>
    </row>
    <row r="249" spans="1:6" s="25" customFormat="1" x14ac:dyDescent="0.25">
      <c r="A249" s="28"/>
      <c r="B249" s="33"/>
      <c r="C249" s="18"/>
      <c r="D249" s="12"/>
      <c r="E249" s="32"/>
      <c r="F249" s="31"/>
    </row>
    <row r="250" spans="1:6" s="25" customFormat="1" x14ac:dyDescent="0.25">
      <c r="A250" s="13" t="s">
        <v>103</v>
      </c>
      <c r="B250" s="28"/>
      <c r="C250" s="26"/>
      <c r="D250" s="27"/>
      <c r="E250" s="28"/>
      <c r="F250" s="31"/>
    </row>
    <row r="251" spans="1:6" s="25" customFormat="1" ht="24" x14ac:dyDescent="0.25">
      <c r="A251" s="13"/>
      <c r="B251" s="32" t="s">
        <v>11</v>
      </c>
      <c r="C251" s="26" t="s">
        <v>171</v>
      </c>
      <c r="D251" s="27">
        <f>0.06*1000</f>
        <v>60</v>
      </c>
      <c r="E251" s="28"/>
      <c r="F251" s="31"/>
    </row>
    <row r="252" spans="1:6" s="25" customFormat="1" ht="14.1" customHeight="1" x14ac:dyDescent="0.25">
      <c r="A252" s="28"/>
      <c r="B252" s="26"/>
      <c r="C252" s="18" t="s">
        <v>21</v>
      </c>
      <c r="D252" s="29">
        <f>SUM(D251)</f>
        <v>60</v>
      </c>
      <c r="E252" s="28"/>
      <c r="F252" s="31"/>
    </row>
    <row r="253" spans="1:6" s="25" customFormat="1" x14ac:dyDescent="0.25">
      <c r="A253" s="28"/>
      <c r="B253" s="33"/>
      <c r="C253" s="18"/>
      <c r="D253" s="12"/>
      <c r="E253" s="32"/>
      <c r="F253" s="31"/>
    </row>
    <row r="254" spans="1:6" s="25" customFormat="1" x14ac:dyDescent="0.25">
      <c r="A254" s="13" t="s">
        <v>104</v>
      </c>
      <c r="B254" s="28"/>
      <c r="C254" s="26"/>
      <c r="D254" s="27"/>
      <c r="E254" s="28"/>
      <c r="F254" s="31"/>
    </row>
    <row r="255" spans="1:6" s="25" customFormat="1" ht="24" x14ac:dyDescent="0.25">
      <c r="A255" s="13"/>
      <c r="B255" s="32" t="s">
        <v>40</v>
      </c>
      <c r="C255" s="26" t="s">
        <v>172</v>
      </c>
      <c r="D255" s="27">
        <f>0.5*1000</f>
        <v>500</v>
      </c>
      <c r="E255" s="28"/>
      <c r="F255" s="31"/>
    </row>
    <row r="256" spans="1:6" s="25" customFormat="1" ht="14.1" customHeight="1" x14ac:dyDescent="0.25">
      <c r="A256" s="28"/>
      <c r="B256" s="26"/>
      <c r="C256" s="18" t="s">
        <v>21</v>
      </c>
      <c r="D256" s="29">
        <f>SUM(D255)</f>
        <v>500</v>
      </c>
      <c r="E256" s="28"/>
      <c r="F256" s="31"/>
    </row>
    <row r="257" spans="1:6" s="25" customFormat="1" x14ac:dyDescent="0.25">
      <c r="A257" s="28"/>
      <c r="B257" s="33"/>
      <c r="C257" s="18"/>
      <c r="D257" s="12"/>
      <c r="E257" s="32"/>
      <c r="F257" s="31"/>
    </row>
    <row r="258" spans="1:6" s="25" customFormat="1" x14ac:dyDescent="0.25">
      <c r="A258" s="20" t="s">
        <v>32</v>
      </c>
      <c r="B258" s="32"/>
      <c r="C258" s="33"/>
      <c r="D258" s="27"/>
      <c r="E258" s="32"/>
      <c r="F258" s="27"/>
    </row>
    <row r="259" spans="1:6" s="25" customFormat="1" ht="25.5" x14ac:dyDescent="0.25">
      <c r="A259" s="20"/>
      <c r="B259" s="32" t="s">
        <v>29</v>
      </c>
      <c r="C259" s="33" t="s">
        <v>173</v>
      </c>
      <c r="D259" s="27">
        <f>0.43*1000</f>
        <v>430</v>
      </c>
      <c r="E259" s="32"/>
      <c r="F259" s="31"/>
    </row>
    <row r="260" spans="1:6" s="25" customFormat="1" ht="25.5" x14ac:dyDescent="0.25">
      <c r="A260" s="20"/>
      <c r="B260" s="32" t="s">
        <v>17</v>
      </c>
      <c r="C260" s="33" t="s">
        <v>174</v>
      </c>
      <c r="D260" s="27">
        <f>0.225*1000</f>
        <v>225</v>
      </c>
      <c r="E260" s="32"/>
      <c r="F260" s="31"/>
    </row>
    <row r="261" spans="1:6" s="25" customFormat="1" x14ac:dyDescent="0.25">
      <c r="A261" s="28"/>
      <c r="B261" s="33"/>
      <c r="C261" s="18" t="s">
        <v>21</v>
      </c>
      <c r="D261" s="29">
        <f>SUM(D259:D260)</f>
        <v>655</v>
      </c>
      <c r="E261" s="32"/>
      <c r="F261" s="31"/>
    </row>
    <row r="262" spans="1:6" s="25" customFormat="1" x14ac:dyDescent="0.25">
      <c r="A262" s="28"/>
      <c r="B262" s="33"/>
      <c r="C262" s="18"/>
      <c r="D262" s="27"/>
      <c r="E262" s="32"/>
      <c r="F262" s="31"/>
    </row>
    <row r="263" spans="1:6" s="25" customFormat="1" x14ac:dyDescent="0.25">
      <c r="A263" s="13" t="s">
        <v>105</v>
      </c>
      <c r="B263" s="28"/>
      <c r="C263" s="26"/>
      <c r="D263" s="27"/>
      <c r="E263" s="28"/>
      <c r="F263" s="31"/>
    </row>
    <row r="264" spans="1:6" s="25" customFormat="1" ht="24" x14ac:dyDescent="0.25">
      <c r="A264" s="13"/>
      <c r="B264" s="28" t="s">
        <v>23</v>
      </c>
      <c r="C264" s="26" t="s">
        <v>175</v>
      </c>
      <c r="D264" s="27">
        <f>0.33508*1000</f>
        <v>335.08</v>
      </c>
      <c r="E264" s="28"/>
      <c r="F264" s="31"/>
    </row>
    <row r="265" spans="1:6" s="25" customFormat="1" ht="14.1" customHeight="1" x14ac:dyDescent="0.25">
      <c r="A265" s="28"/>
      <c r="B265" s="26"/>
      <c r="C265" s="18" t="s">
        <v>21</v>
      </c>
      <c r="D265" s="29">
        <f>SUM(D264)</f>
        <v>335.08</v>
      </c>
      <c r="E265" s="28"/>
      <c r="F265" s="31"/>
    </row>
    <row r="266" spans="1:6" s="25" customFormat="1" x14ac:dyDescent="0.25">
      <c r="A266" s="28"/>
      <c r="B266" s="26"/>
      <c r="C266" s="18"/>
      <c r="D266" s="31"/>
      <c r="E266" s="28"/>
      <c r="F266" s="31"/>
    </row>
    <row r="267" spans="1:6" s="25" customFormat="1" x14ac:dyDescent="0.25">
      <c r="A267" s="13" t="s">
        <v>15</v>
      </c>
      <c r="B267" s="28"/>
      <c r="C267" s="26"/>
      <c r="D267" s="27"/>
      <c r="E267" s="28"/>
      <c r="F267" s="27"/>
    </row>
    <row r="268" spans="1:6" s="25" customFormat="1" ht="24" x14ac:dyDescent="0.25">
      <c r="A268" s="13"/>
      <c r="B268" s="28" t="s">
        <v>55</v>
      </c>
      <c r="C268" s="26" t="s">
        <v>118</v>
      </c>
      <c r="D268" s="27"/>
      <c r="E268" s="28"/>
      <c r="F268" s="27">
        <f>10*1000</f>
        <v>10000</v>
      </c>
    </row>
    <row r="269" spans="1:6" s="25" customFormat="1" x14ac:dyDescent="0.25">
      <c r="A269" s="28"/>
      <c r="B269" s="26"/>
      <c r="C269" s="18" t="s">
        <v>21</v>
      </c>
      <c r="D269" s="31"/>
      <c r="E269" s="28"/>
      <c r="F269" s="29">
        <f>SUM(F268:F268)</f>
        <v>10000</v>
      </c>
    </row>
    <row r="270" spans="1:6" s="25" customFormat="1" x14ac:dyDescent="0.25">
      <c r="A270" s="28"/>
      <c r="B270" s="26"/>
      <c r="C270" s="18"/>
      <c r="D270" s="31"/>
      <c r="E270" s="28"/>
      <c r="F270" s="31"/>
    </row>
    <row r="271" spans="1:6" s="25" customFormat="1" x14ac:dyDescent="0.25">
      <c r="A271" s="13" t="s">
        <v>106</v>
      </c>
      <c r="B271" s="28"/>
      <c r="C271" s="26"/>
      <c r="D271" s="27"/>
      <c r="E271" s="28"/>
      <c r="F271" s="27"/>
    </row>
    <row r="272" spans="1:6" s="25" customFormat="1" ht="24.75" customHeight="1" x14ac:dyDescent="0.25">
      <c r="A272" s="13"/>
      <c r="B272" s="26" t="s">
        <v>192</v>
      </c>
      <c r="C272" s="26" t="s">
        <v>168</v>
      </c>
      <c r="D272" s="27"/>
      <c r="E272" s="28"/>
      <c r="F272" s="27">
        <f>4*1000</f>
        <v>4000</v>
      </c>
    </row>
    <row r="273" spans="1:6" s="25" customFormat="1" x14ac:dyDescent="0.25">
      <c r="A273" s="13"/>
      <c r="B273" s="28" t="s">
        <v>5</v>
      </c>
      <c r="C273" s="26" t="s">
        <v>54</v>
      </c>
      <c r="D273" s="27"/>
      <c r="E273" s="28"/>
      <c r="F273" s="27">
        <f>3*1000</f>
        <v>3000</v>
      </c>
    </row>
    <row r="274" spans="1:6" s="25" customFormat="1" x14ac:dyDescent="0.25">
      <c r="A274" s="28"/>
      <c r="B274" s="26"/>
      <c r="C274" s="18" t="s">
        <v>21</v>
      </c>
      <c r="D274" s="31"/>
      <c r="E274" s="28"/>
      <c r="F274" s="29">
        <f>SUM(F272:F273)</f>
        <v>7000</v>
      </c>
    </row>
    <row r="275" spans="1:6" s="25" customFormat="1" x14ac:dyDescent="0.25">
      <c r="A275" s="28"/>
      <c r="B275" s="26"/>
      <c r="C275" s="18"/>
      <c r="D275" s="31"/>
      <c r="E275" s="28"/>
      <c r="F275" s="12"/>
    </row>
    <row r="276" spans="1:6" s="25" customFormat="1" ht="13.5" x14ac:dyDescent="0.25">
      <c r="A276" s="13" t="s">
        <v>180</v>
      </c>
      <c r="B276" s="28"/>
      <c r="C276" s="26"/>
      <c r="D276" s="16">
        <f>D279+D283</f>
        <v>100</v>
      </c>
      <c r="E276" s="16"/>
      <c r="F276" s="16">
        <f>F279</f>
        <v>12400</v>
      </c>
    </row>
    <row r="277" spans="1:6" s="25" customFormat="1" x14ac:dyDescent="0.25">
      <c r="A277" s="20" t="s">
        <v>107</v>
      </c>
      <c r="B277" s="32"/>
      <c r="C277" s="33"/>
      <c r="D277" s="27"/>
      <c r="E277" s="32"/>
      <c r="F277" s="27"/>
    </row>
    <row r="278" spans="1:6" s="25" customFormat="1" ht="24" x14ac:dyDescent="0.25">
      <c r="A278" s="20"/>
      <c r="B278" s="26" t="s">
        <v>3</v>
      </c>
      <c r="C278" s="33" t="s">
        <v>176</v>
      </c>
      <c r="D278" s="31"/>
      <c r="E278" s="32"/>
      <c r="F278" s="27">
        <f>12.4*1000</f>
        <v>12400</v>
      </c>
    </row>
    <row r="279" spans="1:6" s="25" customFormat="1" x14ac:dyDescent="0.25">
      <c r="A279" s="28"/>
      <c r="B279" s="33"/>
      <c r="C279" s="18" t="s">
        <v>21</v>
      </c>
      <c r="D279" s="31"/>
      <c r="E279" s="32"/>
      <c r="F279" s="29">
        <f>SUM(F278:F278)</f>
        <v>12400</v>
      </c>
    </row>
    <row r="280" spans="1:6" s="25" customFormat="1" x14ac:dyDescent="0.25">
      <c r="A280" s="28"/>
      <c r="B280" s="33"/>
      <c r="C280" s="18"/>
      <c r="D280" s="31"/>
      <c r="E280" s="32"/>
      <c r="F280" s="12"/>
    </row>
    <row r="281" spans="1:6" s="47" customFormat="1" x14ac:dyDescent="0.25">
      <c r="A281" s="13" t="s">
        <v>108</v>
      </c>
      <c r="B281" s="15"/>
      <c r="C281" s="18"/>
      <c r="D281" s="17"/>
      <c r="E281" s="43"/>
      <c r="F281" s="44"/>
    </row>
    <row r="282" spans="1:6" s="47" customFormat="1" ht="48" x14ac:dyDescent="0.25">
      <c r="A282" s="14"/>
      <c r="B282" s="15" t="s">
        <v>11</v>
      </c>
      <c r="C282" s="42" t="s">
        <v>177</v>
      </c>
      <c r="D282" s="17">
        <f>0.1*1000</f>
        <v>100</v>
      </c>
      <c r="E282" s="43"/>
      <c r="F282" s="44"/>
    </row>
    <row r="283" spans="1:6" s="47" customFormat="1" x14ac:dyDescent="0.25">
      <c r="A283" s="14"/>
      <c r="B283" s="15"/>
      <c r="C283" s="18" t="s">
        <v>21</v>
      </c>
      <c r="D283" s="48">
        <f>SUM(D282:D282)</f>
        <v>100</v>
      </c>
      <c r="E283" s="43"/>
      <c r="F283" s="51"/>
    </row>
    <row r="284" spans="1:6" s="25" customFormat="1" x14ac:dyDescent="0.25">
      <c r="A284" s="28"/>
      <c r="B284" s="26"/>
      <c r="C284" s="18"/>
      <c r="D284" s="31"/>
      <c r="E284" s="28"/>
      <c r="F284" s="12"/>
    </row>
    <row r="285" spans="1:6" x14ac:dyDescent="0.2">
      <c r="A285" s="10"/>
      <c r="B285" s="34" t="s">
        <v>8</v>
      </c>
      <c r="C285" s="11"/>
      <c r="D285" s="23">
        <v>99611.434460000019</v>
      </c>
      <c r="E285" s="23"/>
      <c r="F285" s="23">
        <v>219400.26605999999</v>
      </c>
    </row>
    <row r="286" spans="1:6" ht="3.75" customHeight="1" x14ac:dyDescent="0.2"/>
    <row r="287" spans="1:6" s="36" customFormat="1" ht="42.75" customHeight="1" x14ac:dyDescent="0.25">
      <c r="A287" s="59" t="s">
        <v>193</v>
      </c>
      <c r="B287" s="59"/>
      <c r="C287" s="59"/>
      <c r="D287" s="59"/>
      <c r="E287" s="59"/>
      <c r="F287" s="59"/>
    </row>
    <row r="288" spans="1:6" s="36" customFormat="1" ht="12" customHeight="1" x14ac:dyDescent="0.25">
      <c r="A288" s="36" t="s">
        <v>38</v>
      </c>
      <c r="B288" s="37"/>
      <c r="C288" s="37"/>
      <c r="D288" s="38"/>
      <c r="E288" s="39"/>
      <c r="F288" s="39"/>
    </row>
    <row r="289" spans="1:6" s="36" customFormat="1" ht="12" customHeight="1" x14ac:dyDescent="0.25">
      <c r="A289" s="52" t="s">
        <v>59</v>
      </c>
      <c r="B289" s="52"/>
      <c r="C289" s="52"/>
      <c r="D289" s="52"/>
      <c r="E289" s="52"/>
      <c r="F289" s="52"/>
    </row>
    <row r="290" spans="1:6" s="36" customFormat="1" ht="12" customHeight="1" x14ac:dyDescent="0.25">
      <c r="A290" s="35" t="s">
        <v>181</v>
      </c>
      <c r="B290" s="37"/>
      <c r="C290" s="37"/>
      <c r="D290" s="38"/>
      <c r="E290" s="39"/>
      <c r="F290" s="39"/>
    </row>
    <row r="291" spans="1:6" s="36" customFormat="1" ht="12" customHeight="1" x14ac:dyDescent="0.25">
      <c r="A291" s="35" t="s">
        <v>178</v>
      </c>
      <c r="B291" s="37"/>
      <c r="C291" s="37"/>
      <c r="D291" s="38"/>
      <c r="E291" s="39"/>
      <c r="F291" s="39"/>
    </row>
    <row r="292" spans="1:6" s="36" customFormat="1" ht="11.25" x14ac:dyDescent="0.25">
      <c r="A292" s="52" t="s">
        <v>179</v>
      </c>
      <c r="B292" s="52"/>
      <c r="C292" s="52"/>
      <c r="D292" s="52"/>
      <c r="E292" s="52"/>
      <c r="F292" s="52"/>
    </row>
    <row r="293" spans="1:6" x14ac:dyDescent="0.2">
      <c r="A293" s="52"/>
      <c r="B293" s="52"/>
      <c r="C293" s="52"/>
      <c r="D293" s="52"/>
      <c r="E293" s="52"/>
      <c r="F293" s="52"/>
    </row>
  </sheetData>
  <mergeCells count="14">
    <mergeCell ref="A292:F293"/>
    <mergeCell ref="C9:C10"/>
    <mergeCell ref="D9:F9"/>
    <mergeCell ref="A9:B10"/>
    <mergeCell ref="A289:F289"/>
    <mergeCell ref="A90:F90"/>
    <mergeCell ref="A287:F287"/>
    <mergeCell ref="A202:F202"/>
    <mergeCell ref="A187:C187"/>
    <mergeCell ref="A74:C74"/>
    <mergeCell ref="A84:C84"/>
    <mergeCell ref="A95:C95"/>
    <mergeCell ref="A171:C171"/>
    <mergeCell ref="A183:C183"/>
  </mergeCells>
  <phoneticPr fontId="2" type="noConversion"/>
  <printOptions horizontalCentered="1"/>
  <pageMargins left="0.5" right="0.5" top="0.76076779026217201" bottom="0.76" header="0.3" footer="0.3"/>
  <pageSetup scale="98" fitToHeight="0" orientation="portrait" r:id="rId1"/>
  <headerFooter differentFirst="1">
    <oddHeader>&amp;L&amp;"Arial,Bold"&amp;8&amp;K000000Projects Involving Sovereign Grant Cofinancing  &amp;"Arial,Italic"continued</oddHeader>
    <oddFooter>&amp;C_x000D_&amp;1#&amp;"Calibri"&amp;8&amp;K000000 INTERNAL. This information is accessible to ADB Management and staff. It may be shared outside ADB with appropriate permission.</oddFooter>
    <firstFooter>&amp;C_x000D_&amp;1#&amp;"Calibri"&amp;8&amp;K000000 INTERNAL. This information is accessible to ADB Management and staff. It may be shared outside ADB with appropriate permission.</firstFooter>
  </headerFooter>
  <rowBreaks count="6" manualBreakCount="6">
    <brk id="39" max="5" man="1"/>
    <brk id="80" max="5" man="1"/>
    <brk id="151" max="5" man="1"/>
    <brk id="186" max="5" man="1"/>
    <brk id="222" max="5" man="1"/>
    <brk id="262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Props1.xml><?xml version="1.0" encoding="utf-8"?>
<ds:datastoreItem xmlns:ds="http://schemas.openxmlformats.org/officeDocument/2006/customXml" ds:itemID="{8D7D699A-6224-464E-801A-1B1D95C7C5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FC80DB-9F1D-4B81-9EC4-D2DF0BDA34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CBC35-9FF4-4249-94DE-CA861B8C0C3B}">
  <ds:schemaRefs>
    <ds:schemaRef ds:uri="c1fdd505-2570-46c2-bd04-3e0f2d874cf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966b054-3674-4c4f-a2b0-6a3ffbe0790e"/>
    <ds:schemaRef ds:uri="2b4b9d8e-ecb2-49e1-a87e-51dfdfcaee7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Grants</vt:lpstr>
      <vt:lpstr>Grants!Print_Area</vt:lpstr>
      <vt:lpstr>Grants!Print_Titles</vt:lpstr>
    </vt:vector>
  </TitlesOfParts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Projects Involving Sovereign Grant Cofinancing, 2023</dc:title>
  <dc:subject>This table presents ADB projects involving sovereign grant cofinancing, 2023.</dc:subject>
  <dc:creator>Asian Development Bank</dc:creator>
  <cp:keywords>annual report 2023, adb annual reports, adb operations 2023, adb operational data</cp:keywords>
  <cp:lastModifiedBy>Ma. Melissa Enojado. Dela Torre</cp:lastModifiedBy>
  <cp:lastPrinted>2024-04-03T05:59:16Z</cp:lastPrinted>
  <dcterms:created xsi:type="dcterms:W3CDTF">2013-01-07T02:15:48Z</dcterms:created>
  <dcterms:modified xsi:type="dcterms:W3CDTF">2024-04-19T06:28:53Z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2024-04-19T06:28:53Z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17741a70-d23a-410d-a96d-eba4cbf7d672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