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ojacinto/Desktop/ar2016/done/"/>
    </mc:Choice>
  </mc:AlternateContent>
  <bookViews>
    <workbookView xWindow="-28760" yWindow="1000" windowWidth="28800" windowHeight="15800" tabRatio="464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'stat-annex12'!$A$1:$Y$56</definedName>
    <definedName name="_xlnm.Print_Area" localSheetId="1">'T11-1205chartdetails'!$A$1:$P$40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" i="1" l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B48" i="1"/>
  <c r="S42" i="18"/>
  <c r="P41" i="18"/>
  <c r="O41" i="18"/>
  <c r="M41" i="18"/>
  <c r="H39" i="18"/>
  <c r="Q39" i="18"/>
  <c r="H38" i="18"/>
  <c r="Q38" i="18"/>
  <c r="H37" i="18"/>
  <c r="Q37" i="18"/>
  <c r="H36" i="18"/>
  <c r="Q36" i="18"/>
  <c r="R35" i="18"/>
  <c r="H35" i="18"/>
  <c r="Q35" i="18"/>
  <c r="R34" i="18"/>
  <c r="R31" i="18"/>
  <c r="R32" i="18"/>
  <c r="D34" i="18"/>
  <c r="H34" i="18"/>
  <c r="Q34" i="18"/>
  <c r="H33" i="18"/>
  <c r="Q33" i="18"/>
  <c r="F32" i="18"/>
  <c r="H32" i="18"/>
  <c r="Q32" i="18"/>
  <c r="H31" i="18"/>
  <c r="Q31" i="18"/>
  <c r="N30" i="18"/>
  <c r="N41" i="18"/>
  <c r="D30" i="18"/>
  <c r="H30" i="18"/>
  <c r="Q30" i="18"/>
  <c r="B30" i="18"/>
  <c r="B41" i="18"/>
  <c r="K29" i="18"/>
  <c r="K41" i="18"/>
  <c r="F29" i="18"/>
  <c r="D29" i="18"/>
  <c r="H29" i="18"/>
  <c r="Q29" i="18"/>
  <c r="H28" i="18"/>
  <c r="Q28" i="18"/>
  <c r="H27" i="18"/>
  <c r="Q27" i="18"/>
  <c r="H26" i="18"/>
  <c r="Q26" i="18"/>
  <c r="I25" i="18"/>
  <c r="H25" i="18"/>
  <c r="Q25" i="18"/>
  <c r="F24" i="18"/>
  <c r="H24" i="18"/>
  <c r="Q24" i="18"/>
  <c r="F23" i="18"/>
  <c r="D23" i="18"/>
  <c r="H23" i="18"/>
  <c r="Q23" i="18"/>
  <c r="H22" i="18"/>
  <c r="Q22" i="18"/>
  <c r="D21" i="18"/>
  <c r="H21" i="18"/>
  <c r="Q21" i="18"/>
  <c r="D13" i="18"/>
  <c r="F13" i="18"/>
  <c r="H13" i="18"/>
  <c r="Q13" i="18"/>
  <c r="D15" i="18"/>
  <c r="D16" i="18"/>
  <c r="D17" i="18"/>
  <c r="F17" i="18"/>
  <c r="H17" i="18"/>
  <c r="Q17" i="18"/>
  <c r="H20" i="18"/>
  <c r="Q20" i="18"/>
  <c r="H19" i="18"/>
  <c r="Q19" i="18"/>
  <c r="H18" i="18"/>
  <c r="Q18" i="18"/>
  <c r="F16" i="18"/>
  <c r="F15" i="18"/>
  <c r="F14" i="18"/>
  <c r="H14" i="18"/>
  <c r="Q14" i="18"/>
  <c r="F41" i="18"/>
  <c r="H12" i="18"/>
  <c r="Q12" i="18"/>
  <c r="H11" i="18"/>
  <c r="Q11" i="18"/>
  <c r="H10" i="18"/>
  <c r="Q10" i="18"/>
  <c r="H9" i="18"/>
  <c r="Q9" i="18"/>
  <c r="R48" i="1"/>
  <c r="L48" i="1"/>
  <c r="T48" i="1"/>
  <c r="X48" i="1"/>
  <c r="F48" i="1"/>
  <c r="D48" i="1"/>
  <c r="J48" i="1"/>
  <c r="P48" i="1"/>
  <c r="N48" i="1"/>
  <c r="H9" i="17"/>
  <c r="O9" i="17"/>
  <c r="H10" i="17"/>
  <c r="O10" i="17"/>
  <c r="H11" i="17"/>
  <c r="O11" i="17"/>
  <c r="H12" i="17"/>
  <c r="O12" i="17"/>
  <c r="D13" i="17"/>
  <c r="F13" i="17"/>
  <c r="H13" i="17"/>
  <c r="O13" i="17"/>
  <c r="F14" i="17"/>
  <c r="H14" i="17"/>
  <c r="D15" i="17"/>
  <c r="F15" i="17"/>
  <c r="D16" i="17"/>
  <c r="F16" i="17"/>
  <c r="H16" i="17"/>
  <c r="O16" i="17"/>
  <c r="D17" i="17"/>
  <c r="F17" i="17"/>
  <c r="H18" i="17"/>
  <c r="O18" i="17"/>
  <c r="H19" i="17"/>
  <c r="O19" i="17"/>
  <c r="H20" i="17"/>
  <c r="O20" i="17"/>
  <c r="D21" i="17"/>
  <c r="H21" i="17"/>
  <c r="O21" i="17"/>
  <c r="H22" i="17"/>
  <c r="O22" i="17"/>
  <c r="B23" i="17"/>
  <c r="B30" i="17"/>
  <c r="B33" i="17"/>
  <c r="D23" i="17"/>
  <c r="F23" i="17"/>
  <c r="H23" i="17"/>
  <c r="O23" i="17"/>
  <c r="F24" i="17"/>
  <c r="H24" i="17"/>
  <c r="O24" i="17"/>
  <c r="H25" i="17"/>
  <c r="I25" i="17"/>
  <c r="O25" i="17"/>
  <c r="I33" i="17"/>
  <c r="P25" i="17"/>
  <c r="H26" i="17"/>
  <c r="O26" i="17"/>
  <c r="H27" i="17"/>
  <c r="O27" i="17"/>
  <c r="H28" i="17"/>
  <c r="O28" i="17"/>
  <c r="D29" i="17"/>
  <c r="F29" i="17"/>
  <c r="H29" i="17"/>
  <c r="K29" i="17"/>
  <c r="O29" i="17"/>
  <c r="K33" i="17"/>
  <c r="P29" i="17"/>
  <c r="D30" i="17"/>
  <c r="F30" i="17"/>
  <c r="H30" i="17"/>
  <c r="O30" i="17"/>
  <c r="P30" i="17"/>
  <c r="D31" i="17"/>
  <c r="H31" i="17"/>
  <c r="O31" i="17"/>
  <c r="L33" i="17"/>
  <c r="M33" i="17"/>
  <c r="I41" i="18"/>
  <c r="D41" i="18"/>
  <c r="H15" i="17"/>
  <c r="O15" i="17"/>
  <c r="D33" i="17"/>
  <c r="R41" i="18"/>
  <c r="H17" i="17"/>
  <c r="O17" i="17"/>
  <c r="P33" i="17"/>
  <c r="H16" i="18"/>
  <c r="Q16" i="18"/>
  <c r="H48" i="1"/>
  <c r="O14" i="17"/>
  <c r="O33" i="17"/>
  <c r="H33" i="17"/>
  <c r="H41" i="18"/>
  <c r="F33" i="17"/>
  <c r="V48" i="1"/>
  <c r="H15" i="18"/>
  <c r="Q15" i="18"/>
  <c r="Q41" i="18"/>
</calcChain>
</file>

<file path=xl/comments1.xml><?xml version="1.0" encoding="utf-8"?>
<comments xmlns="http://schemas.openxmlformats.org/spreadsheetml/2006/main">
  <authors>
    <author>CLS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<sst xmlns="http://schemas.openxmlformats.org/spreadsheetml/2006/main" count="123" uniqueCount="80">
  <si>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</si>
  <si>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</si>
  <si>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</si>
  <si>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</si>
  <si>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</si>
  <si>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</si>
  <si>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</si>
  <si>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</si>
  <si>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</si>
  <si>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</si>
  <si>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</si>
  <si>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</si>
  <si>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</si>
  <si>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</si>
  <si>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</si>
  <si>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</si>
  <si>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</si>
  <si>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</si>
  <si>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</si>
  <si>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</si>
  <si>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</si>
  <si>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</si>
  <si>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</si>
  <si>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</si>
  <si>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</si>
  <si>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</si>
  <si>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</si>
  <si>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</si>
  <si>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</si>
  <si>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</si>
  <si>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</si>
  <si>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</si>
  <si>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</si>
  <si>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</si>
  <si>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</si>
  <si>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</si>
  <si>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</si>
  <si>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</si>
  <si>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</si>
  <si>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</si>
  <si>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</si>
  <si>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</si>
  <si>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</si>
  <si>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</si>
  <si>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</si>
  <si>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</si>
  <si>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</si>
  <si>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</si>
  <si>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</si>
  <si>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</si>
  <si>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</si>
  <si>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</si>
  <si>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</si>
  <si>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</si>
  <si>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</si>
  <si>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</si>
  <si>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</si>
  <si>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</si>
  <si>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</si>
  <si>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</si>
  <si>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 Net of facilities canceled in full before signing.</t>
    </r>
  </si>
  <si>
    <t>Total ADB</t>
  </si>
  <si>
    <t>Partial Credit</t>
  </si>
  <si>
    <t>Political Risk</t>
  </si>
  <si>
    <t>Trade</t>
  </si>
  <si>
    <t>Finance</t>
  </si>
  <si>
    <t>Supply Chain</t>
  </si>
  <si>
    <t>Total Project</t>
  </si>
  <si>
    <t>Cost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</si>
  <si>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</si>
  <si>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r>
      <t>Nonsovereign Approvals by Year, 1983–2016</t>
    </r>
    <r>
      <rPr>
        <vertAlign val="superscript"/>
        <sz val="11"/>
        <color rgb="FF007DB7"/>
        <rFont val="Arial"/>
        <family val="2"/>
      </rPr>
      <t>a, b</t>
    </r>
    <r>
      <rPr>
        <sz val="11"/>
        <color rgb="FF007DB7"/>
        <rFont val="Arial"/>
        <family val="2"/>
      </rPr>
      <t xml:space="preserve"> </t>
    </r>
  </si>
  <si>
    <t>- = data not applicable, ADB = Asian Development Bank.</t>
  </si>
  <si>
    <r>
      <t>Loan</t>
    </r>
    <r>
      <rPr>
        <b/>
        <vertAlign val="superscript"/>
        <sz val="8"/>
        <rFont val="Arial"/>
        <family val="2"/>
      </rPr>
      <t>c</t>
    </r>
    <r>
      <rPr>
        <b/>
        <sz val="8"/>
        <rFont val="Arial"/>
        <family val="2"/>
      </rPr>
      <t xml:space="preserve"> </t>
    </r>
  </si>
  <si>
    <r>
      <t>Investments</t>
    </r>
    <r>
      <rPr>
        <vertAlign val="superscript"/>
        <sz val="8"/>
        <rFont val="Arial"/>
        <family val="2"/>
      </rPr>
      <t>d</t>
    </r>
  </si>
  <si>
    <r>
      <rPr>
        <vertAlign val="superscript"/>
        <sz val="6"/>
        <rFont val="Arial"/>
        <family val="2"/>
      </rPr>
      <t>c</t>
    </r>
    <r>
      <rPr>
        <sz val="6"/>
        <rFont val="Arial"/>
        <family val="2"/>
      </rPr>
      <t xml:space="preserve">  Includes debt securities.</t>
    </r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</si>
  <si>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Includes equity investments, lines of equity, equity underwriting, and debt securities convertible to equity.</t>
    </r>
  </si>
  <si>
    <r>
      <rPr>
        <vertAlign val="superscript"/>
        <sz val="6"/>
        <rFont val="Arial"/>
        <family val="2"/>
      </rPr>
      <t>e</t>
    </r>
    <r>
      <rPr>
        <sz val="6"/>
        <rFont val="Arial"/>
        <family val="2"/>
      </rPr>
      <t xml:space="preserve">  Does not include guarantees with sovereign counterguarantee.</t>
    </r>
  </si>
  <si>
    <r>
      <rPr>
        <vertAlign val="superscript"/>
        <sz val="6"/>
        <rFont val="Arial"/>
        <family val="2"/>
      </rPr>
      <t>f</t>
    </r>
    <r>
      <rPr>
        <sz val="6"/>
        <rFont val="Arial"/>
        <family val="2"/>
      </rPr>
      <t xml:space="preserve">  Supplementary approvals are not included in the cumulative count of projects.</t>
    </r>
  </si>
  <si>
    <r>
      <rPr>
        <vertAlign val="superscript"/>
        <sz val="6"/>
        <rFont val="Arial"/>
        <family val="2"/>
      </rPr>
      <t>g</t>
    </r>
    <r>
      <rPr>
        <sz val="6"/>
        <rFont val="Arial"/>
        <family val="2"/>
      </rPr>
      <t xml:space="preserve">  Includes US dollar and local currency complementary loans.  </t>
    </r>
  </si>
  <si>
    <r>
      <t>Guarantee</t>
    </r>
    <r>
      <rPr>
        <vertAlign val="superscript"/>
        <sz val="8"/>
        <rFont val="Arial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</si>
</sst>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vertAlign val="superscript"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Border="1" applyAlignment="1">
      <alignment horizontal="left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2" fillId="0" borderId="0" xfId="1" applyNumberFormat="1" applyFont="1" applyAlignment="1"/>
    <xf numFmtId="4" fontId="4" fillId="0" borderId="0" xfId="1" applyNumberFormat="1" applyFont="1" applyAlignment="1">
      <alignment horizontal="left"/>
    </xf>
    <xf numFmtId="4" fontId="2" fillId="0" borderId="0" xfId="1" applyNumberFormat="1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centerContinuous"/>
    </xf>
    <xf numFmtId="4" fontId="3" fillId="0" borderId="0" xfId="1" quotePrefix="1" applyNumberFormat="1" applyFont="1" applyBorder="1" applyAlignment="1">
      <alignment horizontal="center"/>
    </xf>
    <xf numFmtId="4" fontId="3" fillId="0" borderId="0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43" fontId="2" fillId="0" borderId="0" xfId="1" applyFont="1" applyAlignme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1" fontId="3" fillId="0" borderId="0" xfId="0" quotePrefix="1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left"/>
    </xf>
    <xf numFmtId="4" fontId="2" fillId="0" borderId="0" xfId="1" applyNumberFormat="1" applyFont="1" applyFill="1"/>
    <xf numFmtId="43" fontId="2" fillId="0" borderId="0" xfId="1" applyFont="1" applyFill="1"/>
    <xf numFmtId="4" fontId="2" fillId="0" borderId="0" xfId="0" applyNumberFormat="1" applyFont="1" applyFill="1"/>
    <xf numFmtId="0" fontId="2" fillId="0" borderId="0" xfId="0" applyFont="1" applyFill="1"/>
    <xf numFmtId="0" fontId="2" fillId="0" borderId="0" xfId="0" quotePrefix="1" applyFont="1" applyFill="1" applyAlignment="1">
      <alignment horizontal="left"/>
    </xf>
    <xf numFmtId="1" fontId="2" fillId="0" borderId="0" xfId="0" quotePrefix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Continuous"/>
    </xf>
    <xf numFmtId="4" fontId="3" fillId="0" borderId="0" xfId="1" quotePrefix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Continuous"/>
    </xf>
    <xf numFmtId="4" fontId="3" fillId="0" borderId="0" xfId="0" quotePrefix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3" fillId="0" borderId="2" xfId="0" quotePrefix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4" fontId="3" fillId="0" borderId="2" xfId="0" quotePrefix="1" applyNumberFormat="1" applyFont="1" applyFill="1" applyBorder="1" applyAlignment="1">
      <alignment horizontal="centerContinuous"/>
    </xf>
    <xf numFmtId="4" fontId="3" fillId="0" borderId="2" xfId="1" applyNumberFormat="1" applyFont="1" applyFill="1" applyBorder="1" applyAlignment="1">
      <alignment horizontal="centerContinuous"/>
    </xf>
    <xf numFmtId="43" fontId="3" fillId="0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Continuous"/>
    </xf>
    <xf numFmtId="4" fontId="3" fillId="0" borderId="2" xfId="0" quotePrefix="1" applyNumberFormat="1" applyFont="1" applyFill="1" applyBorder="1" applyAlignment="1">
      <alignment horizontal="center"/>
    </xf>
    <xf numFmtId="4" fontId="2" fillId="0" borderId="2" xfId="1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/>
    <xf numFmtId="4" fontId="2" fillId="0" borderId="0" xfId="1" applyNumberFormat="1" applyFont="1" applyFill="1" applyAlignment="1"/>
    <xf numFmtId="4" fontId="4" fillId="0" borderId="0" xfId="1" applyNumberFormat="1" applyFont="1" applyFill="1" applyAlignment="1">
      <alignment horizontal="left"/>
    </xf>
    <xf numFmtId="2" fontId="2" fillId="0" borderId="0" xfId="0" applyNumberFormat="1" applyFont="1" applyFill="1"/>
    <xf numFmtId="1" fontId="4" fillId="0" borderId="0" xfId="0" applyNumberFormat="1" applyFont="1" applyFill="1" applyAlignment="1">
      <alignment horizontal="left"/>
    </xf>
    <xf numFmtId="0" fontId="3" fillId="0" borderId="3" xfId="0" applyFont="1" applyFill="1" applyBorder="1"/>
    <xf numFmtId="4" fontId="3" fillId="0" borderId="3" xfId="1" applyNumberFormat="1" applyFont="1" applyFill="1" applyBorder="1"/>
    <xf numFmtId="43" fontId="3" fillId="0" borderId="3" xfId="1" applyFont="1" applyFill="1" applyBorder="1"/>
    <xf numFmtId="0" fontId="2" fillId="0" borderId="0" xfId="0" quotePrefix="1" applyFont="1" applyFill="1" applyBorder="1" applyAlignment="1">
      <alignment horizontal="left"/>
    </xf>
    <xf numFmtId="1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/>
    <xf numFmtId="43" fontId="2" fillId="0" borderId="0" xfId="1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3" fontId="3" fillId="0" borderId="0" xfId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164" fontId="2" fillId="0" borderId="0" xfId="1" applyNumberFormat="1" applyFont="1" applyFill="1"/>
    <xf numFmtId="4" fontId="10" fillId="0" borderId="0" xfId="1" applyNumberFormat="1" applyFont="1" applyFill="1"/>
    <xf numFmtId="1" fontId="11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" fontId="2" fillId="0" borderId="0" xfId="1" applyNumberFormat="1" applyFont="1" applyFill="1" applyAlignment="1">
      <alignment horizontal="left"/>
    </xf>
    <xf numFmtId="4" fontId="3" fillId="0" borderId="3" xfId="1" applyNumberFormat="1" applyFont="1" applyFill="1" applyBorder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0" xfId="1" applyNumberFormat="1" applyFont="1" applyFill="1" applyAlignment="1">
      <alignment horizontal="right"/>
    </xf>
    <xf numFmtId="43" fontId="3" fillId="0" borderId="3" xfId="1" applyNumberFormat="1" applyFont="1" applyFill="1" applyBorder="1"/>
    <xf numFmtId="43" fontId="2" fillId="0" borderId="0" xfId="1" applyNumberFormat="1" applyFont="1" applyFill="1"/>
    <xf numFmtId="39" fontId="3" fillId="0" borderId="3" xfId="1" applyNumberFormat="1" applyFont="1" applyFill="1" applyBorder="1"/>
    <xf numFmtId="39" fontId="2" fillId="0" borderId="0" xfId="1" applyNumberFormat="1" applyFont="1" applyFill="1"/>
    <xf numFmtId="1" fontId="2" fillId="0" borderId="0" xfId="0" applyNumberFormat="1" applyFont="1" applyFill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1" fontId="15" fillId="0" borderId="0" xfId="1" applyNumberFormat="1" applyFont="1" applyFill="1" applyBorder="1" applyAlignment="1">
      <alignment horizontal="center"/>
    </xf>
    <xf numFmtId="1" fontId="15" fillId="0" borderId="0" xfId="1" applyNumberFormat="1" applyFont="1" applyFill="1" applyBorder="1" applyAlignment="1">
      <alignment horizontal="left"/>
    </xf>
    <xf numFmtId="4" fontId="15" fillId="0" borderId="0" xfId="1" applyNumberFormat="1" applyFont="1" applyFill="1" applyBorder="1"/>
    <xf numFmtId="4" fontId="15" fillId="0" borderId="0" xfId="1" applyNumberFormat="1" applyFont="1" applyFill="1" applyBorder="1" applyAlignment="1">
      <alignment horizontal="left"/>
    </xf>
    <xf numFmtId="43" fontId="15" fillId="0" borderId="0" xfId="1" applyFont="1" applyFill="1" applyBorder="1"/>
    <xf numFmtId="0" fontId="15" fillId="0" borderId="0" xfId="0" applyFont="1" applyFill="1"/>
    <xf numFmtId="1" fontId="15" fillId="0" borderId="0" xfId="0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left"/>
    </xf>
    <xf numFmtId="4" fontId="15" fillId="0" borderId="0" xfId="0" applyNumberFormat="1" applyFont="1" applyFill="1"/>
    <xf numFmtId="4" fontId="15" fillId="0" borderId="0" xfId="1" applyNumberFormat="1" applyFont="1" applyFill="1"/>
    <xf numFmtId="4" fontId="15" fillId="0" borderId="0" xfId="1" applyNumberFormat="1" applyFont="1" applyFill="1" applyAlignment="1">
      <alignment horizontal="left"/>
    </xf>
    <xf numFmtId="43" fontId="15" fillId="0" borderId="0" xfId="1" applyFont="1" applyFill="1"/>
    <xf numFmtId="0" fontId="2" fillId="0" borderId="3" xfId="0" applyFont="1" applyFill="1" applyBorder="1"/>
    <xf numFmtId="4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Continuous"/>
    </xf>
    <xf numFmtId="43" fontId="2" fillId="0" borderId="0" xfId="1" applyFont="1" applyFill="1" applyAlignment="1">
      <alignment horizontal="left" indent="1"/>
    </xf>
    <xf numFmtId="43" fontId="3" fillId="0" borderId="3" xfId="1" applyFont="1" applyFill="1" applyBorder="1" applyAlignment="1">
      <alignment horizontal="left" indent="1"/>
    </xf>
    <xf numFmtId="4" fontId="4" fillId="0" borderId="0" xfId="1" applyNumberFormat="1" applyFont="1" applyFill="1"/>
    <xf numFmtId="0" fontId="4" fillId="0" borderId="0" xfId="0" applyFont="1" applyFill="1" applyAlignment="1">
      <alignment horizontal="left"/>
    </xf>
    <xf numFmtId="1" fontId="4" fillId="0" borderId="3" xfId="1" applyNumberFormat="1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4" fontId="3" fillId="0" borderId="2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1" fontId="3" fillId="0" borderId="1" xfId="0" quotePrefix="1" applyNumberFormat="1" applyFont="1" applyFill="1" applyBorder="1" applyAlignment="1">
      <alignment horizontal="center" wrapText="1"/>
    </xf>
    <xf numFmtId="1" fontId="3" fillId="0" borderId="2" xfId="0" quotePrefix="1" applyNumberFormat="1" applyFont="1" applyFill="1" applyBorder="1" applyAlignment="1">
      <alignment horizontal="center" wrapText="1"/>
    </xf>
    <xf numFmtId="4" fontId="3" fillId="0" borderId="1" xfId="0" quotePrefix="1" applyNumberFormat="1" applyFont="1" applyFill="1" applyBorder="1" applyAlignment="1">
      <alignment horizontal="center" wrapText="1"/>
    </xf>
    <xf numFmtId="4" fontId="3" fillId="0" borderId="2" xfId="0" quotePrefix="1" applyNumberFormat="1" applyFont="1" applyFill="1" applyBorder="1" applyAlignment="1">
      <alignment horizontal="center" wrapText="1"/>
    </xf>
    <xf numFmtId="4" fontId="3" fillId="0" borderId="1" xfId="1" quotePrefix="1" applyNumberFormat="1" applyFont="1" applyFill="1" applyBorder="1" applyAlignment="1">
      <alignment horizontal="center" wrapText="1"/>
    </xf>
    <xf numFmtId="4" fontId="3" fillId="0" borderId="2" xfId="1" quotePrefix="1" applyNumberFormat="1" applyFont="1" applyFill="1" applyBorder="1" applyAlignment="1">
      <alignment horizontal="center" wrapText="1"/>
    </xf>
    <xf numFmtId="4" fontId="3" fillId="0" borderId="1" xfId="1" applyNumberFormat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4" fontId="3" fillId="0" borderId="0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P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0.0120481304752478"/>
          <c:y val="0.88889144331411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"/>
          <c:y val="0.0146199247873401"/>
          <c:w val="0.710844209859998"/>
          <c:h val="0.634504735770558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648.0</c:v>
                </c:pt>
                <c:pt idx="1">
                  <c:v>1176.6</c:v>
                </c:pt>
                <c:pt idx="2">
                  <c:v>2300.0</c:v>
                </c:pt>
                <c:pt idx="3">
                  <c:v>2227.7</c:v>
                </c:pt>
                <c:pt idx="4">
                  <c:v>8941.62</c:v>
                </c:pt>
              </c:numCache>
            </c:numRef>
          </c:val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119152"/>
        <c:axId val="618594704"/>
      </c:barChart>
      <c:catAx>
        <c:axId val="55711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859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594704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557119152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8"/>
          <c:y val="0.741035856573706"/>
          <c:w val="0.761903719822687"/>
          <c:h val="0.099601593625498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497741</xdr:colOff>
      <xdr:row>0</xdr:row>
      <xdr:rowOff>0</xdr:rowOff>
    </xdr:from>
    <xdr:to>
      <xdr:col>10</xdr:col>
      <xdr:colOff>139056</xdr:colOff>
      <xdr:row>4</xdr:row>
      <xdr:rowOff>95099</xdr:rowOff>
    </xdr:to>
    <xdr:sp macro="" textlink="">
      <xdr:nvSpPr>
        <xdr:cNvPr id="2" name="TextBox 1"/>
        <xdr:cNvSpPr txBox="1"/>
      </xdr:nvSpPr>
      <xdr:spPr>
        <a:xfrm>
          <a:off x="497741" y="0"/>
          <a:ext cx="3832315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approvals, nonsovereign, private sector</a:t>
          </a:r>
        </a:p>
      </xdr:txBody>
    </xdr:sp>
    <xdr:clientData/>
  </xdr:twoCellAnchor>
  <xdr:twoCellAnchor editAs="oneCell">
    <xdr:from>
      <xdr:col>0</xdr:col>
      <xdr:colOff>29308</xdr:colOff>
      <xdr:row>0</xdr:row>
      <xdr:rowOff>21981</xdr:rowOff>
    </xdr:from>
    <xdr:to>
      <xdr:col>0</xdr:col>
      <xdr:colOff>417928</xdr:colOff>
      <xdr:row>3</xdr:row>
      <xdr:rowOff>100526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1981"/>
          <a:ext cx="388620" cy="5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56"/>
  <sheetViews>
    <sheetView tabSelected="1" view="pageLayout" zoomScale="130" workbookViewId="0">
      <selection activeCell="A7" sqref="A7"/>
    </sheetView>
  </sheetViews>
  <sheetFormatPr baseColWidth="10" defaultColWidth="9.1640625" defaultRowHeight="11.25" customHeight="1" x14ac:dyDescent="0.15"/>
  <cols>
    <col min="1" max="1" width="9.1640625" style="45" customWidth="1"/>
    <col min="2" max="2" width="5.83203125" style="71" customWidth="1"/>
    <col min="3" max="3" width="3" style="106" customWidth="1"/>
    <col min="4" max="4" width="9" style="44" customWidth="1"/>
    <col min="5" max="5" width="2.83203125" style="44" customWidth="1"/>
    <col min="6" max="6" width="8.33203125" style="44" customWidth="1"/>
    <col min="7" max="7" width="2.83203125" style="44" customWidth="1"/>
    <col min="8" max="8" width="8.5" style="42" customWidth="1"/>
    <col min="9" max="9" width="2.33203125" style="42" customWidth="1"/>
    <col min="10" max="10" width="8" style="42" customWidth="1"/>
    <col min="11" max="11" width="2.1640625" style="95" customWidth="1"/>
    <col min="12" max="12" width="8.1640625" style="42" customWidth="1"/>
    <col min="13" max="13" width="2" style="42" customWidth="1"/>
    <col min="14" max="14" width="7.6640625" style="42" customWidth="1"/>
    <col min="15" max="15" width="2.1640625" style="42" customWidth="1"/>
    <col min="16" max="16" width="7.83203125" style="43" customWidth="1"/>
    <col min="17" max="17" width="2.1640625" style="43" customWidth="1"/>
    <col min="18" max="18" width="10" style="43" customWidth="1"/>
    <col min="19" max="19" width="2.5" style="43" customWidth="1"/>
    <col min="20" max="20" width="6.1640625" style="43" customWidth="1"/>
    <col min="21" max="21" width="2" style="43" customWidth="1"/>
    <col min="22" max="22" width="8.6640625" style="44" customWidth="1"/>
    <col min="23" max="23" width="1.83203125" style="44" customWidth="1"/>
    <col min="24" max="24" width="9.5" style="45" customWidth="1"/>
    <col min="25" max="25" width="2.33203125" style="45" customWidth="1"/>
    <col min="26" max="16384" width="9.1640625" style="45"/>
  </cols>
  <sheetData>
    <row r="7" spans="1:25" ht="19" customHeight="1" x14ac:dyDescent="0.15">
      <c r="A7" s="93" t="s">
        <v>70</v>
      </c>
      <c r="B7" s="40"/>
      <c r="C7" s="105"/>
      <c r="D7" s="41"/>
      <c r="E7" s="41"/>
      <c r="F7" s="41"/>
      <c r="G7" s="41"/>
    </row>
    <row r="8" spans="1:25" ht="15" customHeight="1" x14ac:dyDescent="0.15">
      <c r="A8" s="94" t="s">
        <v>0</v>
      </c>
      <c r="B8" s="40"/>
      <c r="C8" s="105"/>
      <c r="D8" s="41"/>
      <c r="E8" s="41"/>
      <c r="F8" s="41"/>
      <c r="G8" s="41"/>
    </row>
    <row r="10" spans="1:25" ht="12.75" customHeight="1" x14ac:dyDescent="0.15">
      <c r="A10" s="48"/>
      <c r="B10" s="131" t="s">
        <v>2</v>
      </c>
      <c r="C10" s="131"/>
      <c r="D10" s="121"/>
      <c r="E10" s="121"/>
      <c r="F10" s="133" t="s">
        <v>3</v>
      </c>
      <c r="G10" s="133"/>
      <c r="H10" s="135" t="s">
        <v>61</v>
      </c>
      <c r="I10" s="135"/>
      <c r="J10" s="130"/>
      <c r="K10" s="130"/>
      <c r="L10" s="137" t="s">
        <v>62</v>
      </c>
      <c r="M10" s="137"/>
      <c r="N10" s="137" t="s">
        <v>63</v>
      </c>
      <c r="O10" s="137"/>
      <c r="P10" s="139" t="s">
        <v>64</v>
      </c>
      <c r="Q10" s="139"/>
      <c r="R10" s="139" t="s">
        <v>66</v>
      </c>
      <c r="S10" s="139"/>
      <c r="T10" s="122"/>
      <c r="U10" s="122"/>
      <c r="V10" s="133" t="s">
        <v>61</v>
      </c>
      <c r="W10" s="133"/>
      <c r="X10" s="137" t="s">
        <v>67</v>
      </c>
      <c r="Y10" s="137"/>
    </row>
    <row r="11" spans="1:25" ht="13" customHeight="1" x14ac:dyDescent="0.15">
      <c r="A11" s="62" t="s">
        <v>4</v>
      </c>
      <c r="B11" s="132" t="s">
        <v>36</v>
      </c>
      <c r="C11" s="132"/>
      <c r="D11" s="129" t="s">
        <v>72</v>
      </c>
      <c r="E11" s="129"/>
      <c r="F11" s="134" t="s">
        <v>73</v>
      </c>
      <c r="G11" s="134"/>
      <c r="H11" s="136" t="s">
        <v>6</v>
      </c>
      <c r="I11" s="136"/>
      <c r="J11" s="129" t="s">
        <v>45</v>
      </c>
      <c r="K11" s="129"/>
      <c r="L11" s="138" t="s">
        <v>16</v>
      </c>
      <c r="M11" s="138"/>
      <c r="N11" s="134" t="s">
        <v>79</v>
      </c>
      <c r="O11" s="134"/>
      <c r="P11" s="140" t="s">
        <v>65</v>
      </c>
      <c r="Q11" s="140"/>
      <c r="R11" s="140" t="s">
        <v>65</v>
      </c>
      <c r="S11" s="140"/>
      <c r="T11" s="68" t="s">
        <v>43</v>
      </c>
      <c r="U11" s="68"/>
      <c r="V11" s="134" t="s">
        <v>40</v>
      </c>
      <c r="W11" s="134"/>
      <c r="X11" s="138" t="s">
        <v>68</v>
      </c>
      <c r="Y11" s="138"/>
    </row>
    <row r="12" spans="1:25" ht="7.5" customHeight="1" x14ac:dyDescent="0.15">
      <c r="D12" s="42"/>
      <c r="E12" s="42"/>
      <c r="F12" s="42"/>
      <c r="G12" s="42"/>
    </row>
    <row r="13" spans="1:25" ht="12" customHeight="1" x14ac:dyDescent="0.15">
      <c r="A13" s="72">
        <v>1983</v>
      </c>
      <c r="B13" s="103">
        <v>2</v>
      </c>
      <c r="D13" s="100">
        <v>0</v>
      </c>
      <c r="E13" s="42"/>
      <c r="F13" s="42">
        <v>2.96</v>
      </c>
      <c r="G13" s="42"/>
      <c r="H13" s="43">
        <v>2.96</v>
      </c>
      <c r="I13" s="43"/>
      <c r="J13" s="43">
        <v>0</v>
      </c>
      <c r="L13" s="43">
        <v>0</v>
      </c>
      <c r="M13" s="43"/>
      <c r="N13" s="43">
        <v>0</v>
      </c>
      <c r="O13" s="43"/>
      <c r="P13" s="43">
        <v>0</v>
      </c>
      <c r="R13" s="123">
        <v>0</v>
      </c>
      <c r="S13" s="123"/>
      <c r="T13" s="43">
        <v>0</v>
      </c>
      <c r="V13" s="102">
        <f t="shared" ref="V13:V45" si="0">SUM(H13:T13)</f>
        <v>2.96</v>
      </c>
      <c r="W13" s="42"/>
      <c r="X13" s="42">
        <v>36</v>
      </c>
    </row>
    <row r="14" spans="1:25" ht="12" customHeight="1" x14ac:dyDescent="0.15">
      <c r="A14" s="72">
        <v>1984</v>
      </c>
      <c r="B14" s="103">
        <v>1</v>
      </c>
      <c r="D14" s="100">
        <v>0</v>
      </c>
      <c r="E14" s="42"/>
      <c r="F14" s="42">
        <v>0.42</v>
      </c>
      <c r="G14" s="42"/>
      <c r="H14" s="43">
        <v>0.42</v>
      </c>
      <c r="I14" s="43"/>
      <c r="J14" s="43">
        <v>0</v>
      </c>
      <c r="L14" s="43">
        <v>0</v>
      </c>
      <c r="M14" s="43"/>
      <c r="N14" s="43">
        <v>0</v>
      </c>
      <c r="O14" s="43"/>
      <c r="P14" s="43">
        <v>0</v>
      </c>
      <c r="R14" s="123">
        <v>0</v>
      </c>
      <c r="S14" s="123"/>
      <c r="T14" s="43">
        <v>0</v>
      </c>
      <c r="V14" s="102">
        <f t="shared" si="0"/>
        <v>0.42</v>
      </c>
      <c r="W14" s="42"/>
      <c r="X14" s="42">
        <v>2.8</v>
      </c>
    </row>
    <row r="15" spans="1:25" ht="12" customHeight="1" x14ac:dyDescent="0.15">
      <c r="A15" s="72">
        <v>1985</v>
      </c>
      <c r="B15" s="103">
        <v>3</v>
      </c>
      <c r="D15" s="100">
        <v>0</v>
      </c>
      <c r="E15" s="42"/>
      <c r="F15" s="42">
        <v>3.4</v>
      </c>
      <c r="G15" s="42"/>
      <c r="H15" s="43">
        <v>3.4</v>
      </c>
      <c r="I15" s="43"/>
      <c r="J15" s="43">
        <v>0</v>
      </c>
      <c r="L15" s="43">
        <v>0</v>
      </c>
      <c r="M15" s="43"/>
      <c r="N15" s="43">
        <v>0</v>
      </c>
      <c r="O15" s="43"/>
      <c r="P15" s="43">
        <v>0</v>
      </c>
      <c r="R15" s="123">
        <v>0</v>
      </c>
      <c r="S15" s="123"/>
      <c r="T15" s="43">
        <v>0</v>
      </c>
      <c r="V15" s="102">
        <f t="shared" si="0"/>
        <v>3.4</v>
      </c>
      <c r="W15" s="42"/>
      <c r="X15" s="42">
        <v>26.5</v>
      </c>
    </row>
    <row r="16" spans="1:25" ht="12" customHeight="1" x14ac:dyDescent="0.15">
      <c r="A16" s="72">
        <v>1986</v>
      </c>
      <c r="B16" s="103">
        <v>4</v>
      </c>
      <c r="D16" s="42">
        <v>6.46</v>
      </c>
      <c r="E16" s="42"/>
      <c r="F16" s="42">
        <v>6.0129999999999999</v>
      </c>
      <c r="G16" s="42"/>
      <c r="H16" s="43">
        <v>12.472999999999999</v>
      </c>
      <c r="I16" s="43"/>
      <c r="J16" s="43">
        <v>0</v>
      </c>
      <c r="L16" s="43">
        <v>0</v>
      </c>
      <c r="M16" s="43"/>
      <c r="N16" s="43">
        <v>0</v>
      </c>
      <c r="O16" s="43"/>
      <c r="P16" s="43">
        <v>0</v>
      </c>
      <c r="R16" s="123">
        <v>0</v>
      </c>
      <c r="S16" s="123"/>
      <c r="T16" s="43">
        <v>0</v>
      </c>
      <c r="V16" s="102">
        <f t="shared" si="0"/>
        <v>12.472999999999999</v>
      </c>
      <c r="W16" s="42"/>
      <c r="X16" s="42">
        <v>20.32</v>
      </c>
    </row>
    <row r="17" spans="1:25" ht="12" customHeight="1" x14ac:dyDescent="0.15">
      <c r="A17" s="72">
        <v>1987</v>
      </c>
      <c r="B17" s="103">
        <v>7</v>
      </c>
      <c r="D17" s="42">
        <v>20.5</v>
      </c>
      <c r="E17" s="42"/>
      <c r="F17" s="42">
        <v>27.605</v>
      </c>
      <c r="G17" s="42"/>
      <c r="H17" s="43">
        <v>48.105000000000004</v>
      </c>
      <c r="I17" s="43"/>
      <c r="J17" s="73">
        <v>5</v>
      </c>
      <c r="L17" s="43">
        <v>0</v>
      </c>
      <c r="M17" s="43"/>
      <c r="N17" s="43">
        <v>0</v>
      </c>
      <c r="O17" s="43"/>
      <c r="P17" s="43">
        <v>0</v>
      </c>
      <c r="R17" s="123">
        <v>0</v>
      </c>
      <c r="S17" s="123"/>
      <c r="T17" s="43">
        <v>0</v>
      </c>
      <c r="V17" s="102">
        <f t="shared" si="0"/>
        <v>53.105000000000004</v>
      </c>
      <c r="W17" s="42"/>
      <c r="X17" s="42">
        <v>519.24</v>
      </c>
    </row>
    <row r="18" spans="1:25" ht="12" customHeight="1" x14ac:dyDescent="0.15">
      <c r="A18" s="72">
        <v>1988</v>
      </c>
      <c r="B18" s="103">
        <v>12</v>
      </c>
      <c r="D18" s="42">
        <v>58</v>
      </c>
      <c r="E18" s="42"/>
      <c r="F18" s="42">
        <v>35.67</v>
      </c>
      <c r="G18" s="42"/>
      <c r="H18" s="43">
        <v>93.67</v>
      </c>
      <c r="I18" s="43"/>
      <c r="J18" s="43">
        <v>0</v>
      </c>
      <c r="L18" s="43">
        <v>0</v>
      </c>
      <c r="M18" s="43"/>
      <c r="N18" s="43">
        <v>0</v>
      </c>
      <c r="O18" s="43"/>
      <c r="P18" s="43">
        <v>0</v>
      </c>
      <c r="R18" s="123">
        <v>0</v>
      </c>
      <c r="S18" s="123"/>
      <c r="T18" s="43">
        <v>0</v>
      </c>
      <c r="V18" s="102">
        <f t="shared" si="0"/>
        <v>93.67</v>
      </c>
      <c r="W18" s="42"/>
      <c r="X18" s="42">
        <v>502.32</v>
      </c>
    </row>
    <row r="19" spans="1:25" ht="12" customHeight="1" x14ac:dyDescent="0.15">
      <c r="A19" s="72">
        <v>1989</v>
      </c>
      <c r="B19" s="103">
        <v>16</v>
      </c>
      <c r="D19" s="42">
        <v>95.7</v>
      </c>
      <c r="E19" s="42"/>
      <c r="F19" s="42">
        <v>67.59</v>
      </c>
      <c r="G19" s="42"/>
      <c r="H19" s="43">
        <v>163.29000000000002</v>
      </c>
      <c r="I19" s="43"/>
      <c r="J19" s="43">
        <v>51.1</v>
      </c>
      <c r="L19" s="43">
        <v>0</v>
      </c>
      <c r="M19" s="43"/>
      <c r="N19" s="43">
        <v>0</v>
      </c>
      <c r="O19" s="43"/>
      <c r="P19" s="43">
        <v>0</v>
      </c>
      <c r="R19" s="123">
        <v>0</v>
      </c>
      <c r="S19" s="123"/>
      <c r="T19" s="43">
        <v>0</v>
      </c>
      <c r="V19" s="102">
        <f t="shared" si="0"/>
        <v>214.39000000000001</v>
      </c>
      <c r="W19" s="42"/>
      <c r="X19" s="42">
        <v>1038.6600000000001</v>
      </c>
    </row>
    <row r="20" spans="1:25" ht="12" customHeight="1" x14ac:dyDescent="0.15">
      <c r="A20" s="72">
        <v>1990</v>
      </c>
      <c r="B20" s="103">
        <v>17</v>
      </c>
      <c r="D20" s="42">
        <v>78.849999999999994</v>
      </c>
      <c r="E20" s="42"/>
      <c r="F20" s="42">
        <v>35.942999999999998</v>
      </c>
      <c r="G20" s="42"/>
      <c r="H20" s="43">
        <v>114.79299999999999</v>
      </c>
      <c r="I20" s="43"/>
      <c r="J20" s="43">
        <v>24</v>
      </c>
      <c r="L20" s="43">
        <v>0</v>
      </c>
      <c r="M20" s="43"/>
      <c r="N20" s="43">
        <v>0</v>
      </c>
      <c r="O20" s="43"/>
      <c r="P20" s="43">
        <v>0</v>
      </c>
      <c r="R20" s="123">
        <v>0</v>
      </c>
      <c r="S20" s="123"/>
      <c r="T20" s="43">
        <v>0</v>
      </c>
      <c r="V20" s="102">
        <f t="shared" si="0"/>
        <v>138.79300000000001</v>
      </c>
      <c r="W20" s="42"/>
      <c r="X20" s="42">
        <v>2026.13</v>
      </c>
    </row>
    <row r="21" spans="1:25" ht="12" customHeight="1" x14ac:dyDescent="0.15">
      <c r="A21" s="72">
        <v>1991</v>
      </c>
      <c r="B21" s="103">
        <v>10</v>
      </c>
      <c r="D21" s="42">
        <v>156.80000000000001</v>
      </c>
      <c r="E21" s="42"/>
      <c r="F21" s="42">
        <v>20.518000000000001</v>
      </c>
      <c r="G21" s="42"/>
      <c r="H21" s="43">
        <v>177.31800000000001</v>
      </c>
      <c r="I21" s="43"/>
      <c r="J21" s="43">
        <v>0</v>
      </c>
      <c r="L21" s="97">
        <v>0</v>
      </c>
      <c r="M21" s="43"/>
      <c r="N21" s="43">
        <v>0</v>
      </c>
      <c r="O21" s="43"/>
      <c r="P21" s="43">
        <v>0</v>
      </c>
      <c r="R21" s="123">
        <v>0</v>
      </c>
      <c r="S21" s="123"/>
      <c r="T21" s="43">
        <v>0</v>
      </c>
      <c r="V21" s="102">
        <f t="shared" si="0"/>
        <v>177.31800000000001</v>
      </c>
      <c r="W21" s="42"/>
      <c r="X21" s="42">
        <v>1325.18</v>
      </c>
    </row>
    <row r="22" spans="1:25" ht="12" customHeight="1" x14ac:dyDescent="0.15">
      <c r="A22" s="72">
        <v>1992</v>
      </c>
      <c r="B22" s="103">
        <v>4</v>
      </c>
      <c r="D22" s="42">
        <v>50</v>
      </c>
      <c r="E22" s="42"/>
      <c r="F22" s="42">
        <v>5.42</v>
      </c>
      <c r="G22" s="42"/>
      <c r="H22" s="43">
        <v>55.42</v>
      </c>
      <c r="I22" s="43"/>
      <c r="J22" s="43">
        <v>81.5</v>
      </c>
      <c r="L22" s="97">
        <v>0</v>
      </c>
      <c r="M22" s="43"/>
      <c r="N22" s="43">
        <v>0</v>
      </c>
      <c r="O22" s="43"/>
      <c r="P22" s="43">
        <v>0</v>
      </c>
      <c r="R22" s="123">
        <v>0</v>
      </c>
      <c r="S22" s="123"/>
      <c r="T22" s="43">
        <v>0</v>
      </c>
      <c r="V22" s="102">
        <f t="shared" si="0"/>
        <v>136.92000000000002</v>
      </c>
      <c r="W22" s="42"/>
      <c r="X22" s="42">
        <v>402.29</v>
      </c>
    </row>
    <row r="23" spans="1:25" ht="12" customHeight="1" x14ac:dyDescent="0.15">
      <c r="A23" s="72">
        <v>1993</v>
      </c>
      <c r="B23" s="103">
        <v>8</v>
      </c>
      <c r="D23" s="42">
        <v>182.1</v>
      </c>
      <c r="E23" s="42"/>
      <c r="F23" s="42">
        <v>20.7</v>
      </c>
      <c r="G23" s="42"/>
      <c r="H23" s="43">
        <v>202.79999999999998</v>
      </c>
      <c r="I23" s="43"/>
      <c r="J23" s="43">
        <v>19.3</v>
      </c>
      <c r="L23" s="97">
        <v>0</v>
      </c>
      <c r="M23" s="43"/>
      <c r="N23" s="43">
        <v>0</v>
      </c>
      <c r="O23" s="43"/>
      <c r="P23" s="43">
        <v>0</v>
      </c>
      <c r="R23" s="123">
        <v>0</v>
      </c>
      <c r="S23" s="123"/>
      <c r="T23" s="43">
        <v>0</v>
      </c>
      <c r="V23" s="102">
        <f t="shared" si="0"/>
        <v>222.1</v>
      </c>
      <c r="W23" s="42"/>
      <c r="X23" s="42">
        <v>1505.7</v>
      </c>
    </row>
    <row r="24" spans="1:25" ht="12" customHeight="1" x14ac:dyDescent="0.15">
      <c r="A24" s="72">
        <v>1994</v>
      </c>
      <c r="B24" s="103">
        <v>10</v>
      </c>
      <c r="D24" s="43">
        <v>0</v>
      </c>
      <c r="E24" s="42"/>
      <c r="F24" s="42">
        <v>48.7</v>
      </c>
      <c r="G24" s="42"/>
      <c r="H24" s="43">
        <v>48.7</v>
      </c>
      <c r="I24" s="43"/>
      <c r="J24" s="43">
        <v>0</v>
      </c>
      <c r="L24" s="97">
        <v>0</v>
      </c>
      <c r="M24" s="43"/>
      <c r="N24" s="43">
        <v>0</v>
      </c>
      <c r="O24" s="43"/>
      <c r="P24" s="43">
        <v>0</v>
      </c>
      <c r="R24" s="123">
        <v>0</v>
      </c>
      <c r="S24" s="123"/>
      <c r="T24" s="43">
        <v>0</v>
      </c>
      <c r="V24" s="102">
        <f t="shared" si="0"/>
        <v>48.7</v>
      </c>
      <c r="W24" s="42"/>
      <c r="X24" s="42">
        <v>919.2</v>
      </c>
    </row>
    <row r="25" spans="1:25" ht="12" customHeight="1" x14ac:dyDescent="0.15">
      <c r="A25" s="72">
        <v>1995</v>
      </c>
      <c r="B25" s="103">
        <v>7</v>
      </c>
      <c r="D25" s="42">
        <v>68</v>
      </c>
      <c r="E25" s="42"/>
      <c r="F25" s="42">
        <v>99.414000000000001</v>
      </c>
      <c r="G25" s="42"/>
      <c r="H25" s="43">
        <v>167.41399999999999</v>
      </c>
      <c r="I25" s="43"/>
      <c r="J25" s="43">
        <v>5.83</v>
      </c>
      <c r="L25" s="97">
        <v>0</v>
      </c>
      <c r="M25" s="43"/>
      <c r="N25" s="43">
        <v>0</v>
      </c>
      <c r="O25" s="43"/>
      <c r="P25" s="43">
        <v>0</v>
      </c>
      <c r="R25" s="123">
        <v>0</v>
      </c>
      <c r="S25" s="123"/>
      <c r="T25" s="43">
        <v>0</v>
      </c>
      <c r="V25" s="102">
        <f t="shared" si="0"/>
        <v>173.244</v>
      </c>
      <c r="W25" s="42"/>
      <c r="X25" s="42">
        <v>1050.3219999999999</v>
      </c>
    </row>
    <row r="26" spans="1:25" ht="12" customHeight="1" x14ac:dyDescent="0.15">
      <c r="A26" s="72">
        <v>1996</v>
      </c>
      <c r="B26" s="103">
        <v>7</v>
      </c>
      <c r="D26" s="42">
        <v>98.5</v>
      </c>
      <c r="E26" s="42"/>
      <c r="F26" s="42">
        <v>80.150000000000006</v>
      </c>
      <c r="G26" s="42"/>
      <c r="H26" s="43">
        <v>178.65</v>
      </c>
      <c r="I26" s="43"/>
      <c r="J26" s="43">
        <v>91.5</v>
      </c>
      <c r="L26" s="97">
        <v>0</v>
      </c>
      <c r="M26" s="43"/>
      <c r="N26" s="43">
        <v>0</v>
      </c>
      <c r="O26" s="43"/>
      <c r="P26" s="43">
        <v>0</v>
      </c>
      <c r="R26" s="123">
        <v>0</v>
      </c>
      <c r="S26" s="123"/>
      <c r="T26" s="43">
        <v>0</v>
      </c>
      <c r="V26" s="102">
        <f t="shared" si="0"/>
        <v>270.14999999999998</v>
      </c>
      <c r="W26" s="42"/>
      <c r="X26" s="42">
        <v>1788.77</v>
      </c>
    </row>
    <row r="27" spans="1:25" ht="12" customHeight="1" x14ac:dyDescent="0.15">
      <c r="A27" s="72">
        <v>1997</v>
      </c>
      <c r="B27" s="103">
        <v>6</v>
      </c>
      <c r="D27" s="42">
        <v>45</v>
      </c>
      <c r="E27" s="42"/>
      <c r="F27" s="42">
        <v>49.5</v>
      </c>
      <c r="G27" s="42"/>
      <c r="H27" s="43">
        <v>94.5</v>
      </c>
      <c r="I27" s="43"/>
      <c r="J27" s="43">
        <v>0</v>
      </c>
      <c r="L27" s="97">
        <v>0</v>
      </c>
      <c r="M27" s="43"/>
      <c r="N27" s="43">
        <v>0</v>
      </c>
      <c r="O27" s="43"/>
      <c r="P27" s="43">
        <v>0</v>
      </c>
      <c r="R27" s="123">
        <v>0</v>
      </c>
      <c r="S27" s="123"/>
      <c r="T27" s="43">
        <v>0</v>
      </c>
      <c r="V27" s="102">
        <f t="shared" si="0"/>
        <v>94.5</v>
      </c>
      <c r="W27" s="42"/>
      <c r="X27" s="42">
        <v>1239.69</v>
      </c>
    </row>
    <row r="28" spans="1:25" ht="12" customHeight="1" x14ac:dyDescent="0.15">
      <c r="A28" s="72">
        <v>1998</v>
      </c>
      <c r="B28" s="103">
        <v>6</v>
      </c>
      <c r="D28" s="42">
        <v>136.12</v>
      </c>
      <c r="E28" s="42"/>
      <c r="F28" s="42">
        <v>39.44</v>
      </c>
      <c r="G28" s="42"/>
      <c r="H28" s="43">
        <v>175.56</v>
      </c>
      <c r="I28" s="43"/>
      <c r="J28" s="43">
        <v>151.077</v>
      </c>
      <c r="L28" s="97">
        <v>0</v>
      </c>
      <c r="M28" s="43"/>
      <c r="N28" s="43">
        <v>0</v>
      </c>
      <c r="O28" s="43"/>
      <c r="P28" s="43">
        <v>0</v>
      </c>
      <c r="R28" s="123">
        <v>0</v>
      </c>
      <c r="S28" s="123"/>
      <c r="T28" s="43">
        <v>0</v>
      </c>
      <c r="V28" s="102">
        <f t="shared" si="0"/>
        <v>326.637</v>
      </c>
      <c r="W28" s="42"/>
      <c r="X28" s="42">
        <v>1152.7</v>
      </c>
    </row>
    <row r="29" spans="1:25" ht="12" customHeight="1" x14ac:dyDescent="0.15">
      <c r="A29" s="72">
        <v>1999</v>
      </c>
      <c r="B29" s="103">
        <v>3</v>
      </c>
      <c r="D29" s="42">
        <v>101.5</v>
      </c>
      <c r="E29" s="42"/>
      <c r="F29" s="42">
        <v>7.4</v>
      </c>
      <c r="G29" s="42"/>
      <c r="H29" s="43">
        <v>108.9</v>
      </c>
      <c r="I29" s="43"/>
      <c r="J29" s="43">
        <v>61.5</v>
      </c>
      <c r="L29" s="97">
        <v>0</v>
      </c>
      <c r="M29" s="43"/>
      <c r="N29" s="43">
        <v>0</v>
      </c>
      <c r="O29" s="43"/>
      <c r="P29" s="43">
        <v>0</v>
      </c>
      <c r="R29" s="123">
        <v>0</v>
      </c>
      <c r="S29" s="123"/>
      <c r="T29" s="43">
        <v>0</v>
      </c>
      <c r="V29" s="102">
        <f t="shared" si="0"/>
        <v>170.4</v>
      </c>
      <c r="W29" s="42"/>
      <c r="X29" s="42">
        <v>847.7</v>
      </c>
    </row>
    <row r="30" spans="1:25" ht="12" customHeight="1" x14ac:dyDescent="0.15">
      <c r="A30" s="72">
        <v>2000</v>
      </c>
      <c r="B30" s="103">
        <v>9</v>
      </c>
      <c r="D30" s="42">
        <v>152</v>
      </c>
      <c r="E30" s="75"/>
      <c r="F30" s="42">
        <v>77.650000000000006</v>
      </c>
      <c r="G30" s="42"/>
      <c r="H30" s="43">
        <v>229.65</v>
      </c>
      <c r="I30" s="43"/>
      <c r="J30" s="43">
        <v>45</v>
      </c>
      <c r="L30" s="97">
        <v>0</v>
      </c>
      <c r="M30" s="43"/>
      <c r="N30" s="43">
        <v>0</v>
      </c>
      <c r="O30" s="43"/>
      <c r="P30" s="43">
        <v>0</v>
      </c>
      <c r="R30" s="123">
        <v>0</v>
      </c>
      <c r="S30" s="123"/>
      <c r="T30" s="43">
        <v>0</v>
      </c>
      <c r="V30" s="102">
        <f t="shared" si="0"/>
        <v>274.64999999999998</v>
      </c>
      <c r="W30" s="42"/>
      <c r="X30" s="42">
        <v>1629.84</v>
      </c>
    </row>
    <row r="31" spans="1:25" ht="12" customHeight="1" x14ac:dyDescent="0.15">
      <c r="A31" s="72">
        <v>2001</v>
      </c>
      <c r="B31" s="103">
        <v>6</v>
      </c>
      <c r="D31" s="42">
        <v>37.5</v>
      </c>
      <c r="E31" s="42"/>
      <c r="F31" s="42">
        <v>30.36</v>
      </c>
      <c r="G31" s="42"/>
      <c r="H31" s="43">
        <v>67.86</v>
      </c>
      <c r="I31" s="43"/>
      <c r="J31" s="43">
        <v>0</v>
      </c>
      <c r="L31" s="97">
        <v>0</v>
      </c>
      <c r="M31" s="43"/>
      <c r="N31" s="43">
        <v>0</v>
      </c>
      <c r="O31" s="43"/>
      <c r="P31" s="43">
        <v>0</v>
      </c>
      <c r="R31" s="123">
        <v>0</v>
      </c>
      <c r="S31" s="123"/>
      <c r="T31" s="43">
        <v>0</v>
      </c>
      <c r="V31" s="102">
        <f t="shared" si="0"/>
        <v>67.86</v>
      </c>
      <c r="W31" s="42"/>
      <c r="X31" s="42">
        <v>648</v>
      </c>
    </row>
    <row r="32" spans="1:25" ht="12" customHeight="1" x14ac:dyDescent="0.15">
      <c r="A32" s="72">
        <v>2002</v>
      </c>
      <c r="B32" s="103">
        <v>6</v>
      </c>
      <c r="D32" s="42">
        <v>110</v>
      </c>
      <c r="E32" s="42"/>
      <c r="F32" s="42">
        <v>25.53</v>
      </c>
      <c r="G32" s="42"/>
      <c r="H32" s="43">
        <v>135.53</v>
      </c>
      <c r="I32" s="43"/>
      <c r="J32" s="43">
        <v>0</v>
      </c>
      <c r="L32" s="97">
        <v>0</v>
      </c>
      <c r="M32" s="43"/>
      <c r="N32" s="43">
        <v>60</v>
      </c>
      <c r="O32" s="43"/>
      <c r="P32" s="43">
        <v>0</v>
      </c>
      <c r="R32" s="123">
        <v>0</v>
      </c>
      <c r="S32" s="123"/>
      <c r="T32" s="43">
        <v>0</v>
      </c>
      <c r="V32" s="102">
        <f t="shared" si="0"/>
        <v>195.53</v>
      </c>
      <c r="W32" s="42"/>
      <c r="X32" s="44">
        <v>1136.5999999999999</v>
      </c>
      <c r="Y32" s="44"/>
    </row>
    <row r="33" spans="1:25" ht="12" customHeight="1" x14ac:dyDescent="0.15">
      <c r="A33" s="72">
        <v>2003</v>
      </c>
      <c r="B33" s="103">
        <v>7</v>
      </c>
      <c r="D33" s="42">
        <v>122</v>
      </c>
      <c r="E33" s="42"/>
      <c r="F33" s="42">
        <v>35.65</v>
      </c>
      <c r="G33" s="42"/>
      <c r="H33" s="43">
        <v>157.65</v>
      </c>
      <c r="I33" s="43"/>
      <c r="J33" s="43">
        <v>170</v>
      </c>
      <c r="L33" s="97">
        <v>65</v>
      </c>
      <c r="M33" s="43"/>
      <c r="N33" s="43">
        <v>0</v>
      </c>
      <c r="O33" s="43"/>
      <c r="P33" s="43">
        <v>150</v>
      </c>
      <c r="R33" s="123">
        <v>0</v>
      </c>
      <c r="S33" s="123"/>
      <c r="T33" s="43">
        <v>0</v>
      </c>
      <c r="V33" s="102">
        <f t="shared" si="0"/>
        <v>542.65</v>
      </c>
      <c r="W33" s="42"/>
      <c r="X33" s="42">
        <v>2300</v>
      </c>
    </row>
    <row r="34" spans="1:25" ht="12" customHeight="1" x14ac:dyDescent="0.15">
      <c r="A34" s="72">
        <v>2004</v>
      </c>
      <c r="B34" s="103">
        <v>14</v>
      </c>
      <c r="C34" s="77"/>
      <c r="D34" s="42">
        <v>92.5</v>
      </c>
      <c r="E34" s="42"/>
      <c r="F34" s="42">
        <v>164.37</v>
      </c>
      <c r="G34" s="42"/>
      <c r="H34" s="43">
        <v>256.87</v>
      </c>
      <c r="I34" s="43"/>
      <c r="J34" s="43">
        <v>0</v>
      </c>
      <c r="L34" s="97">
        <v>0</v>
      </c>
      <c r="M34" s="43"/>
      <c r="N34" s="43">
        <v>10</v>
      </c>
      <c r="O34" s="43"/>
      <c r="P34" s="43">
        <v>0</v>
      </c>
      <c r="R34" s="123">
        <v>0</v>
      </c>
      <c r="S34" s="123"/>
      <c r="T34" s="43">
        <v>0</v>
      </c>
      <c r="V34" s="102">
        <f t="shared" si="0"/>
        <v>266.87</v>
      </c>
      <c r="W34" s="42"/>
      <c r="X34" s="42">
        <v>2227.6999999999998</v>
      </c>
    </row>
    <row r="35" spans="1:25" ht="12" customHeight="1" x14ac:dyDescent="0.15">
      <c r="A35" s="72">
        <v>2005</v>
      </c>
      <c r="B35" s="103">
        <v>13</v>
      </c>
      <c r="C35" s="77"/>
      <c r="D35" s="42">
        <v>513.02</v>
      </c>
      <c r="E35" s="42"/>
      <c r="F35" s="42">
        <v>175.5</v>
      </c>
      <c r="G35" s="45"/>
      <c r="H35" s="43">
        <v>688.52</v>
      </c>
      <c r="I35" s="43"/>
      <c r="J35" s="43">
        <v>0</v>
      </c>
      <c r="L35" s="97">
        <v>18.399999999999999</v>
      </c>
      <c r="M35" s="43"/>
      <c r="N35" s="43">
        <v>0</v>
      </c>
      <c r="O35" s="43"/>
      <c r="P35" s="43">
        <v>0</v>
      </c>
      <c r="R35" s="123">
        <v>0</v>
      </c>
      <c r="S35" s="123"/>
      <c r="T35" s="43">
        <v>0</v>
      </c>
      <c r="V35" s="102">
        <f t="shared" si="0"/>
        <v>706.92</v>
      </c>
      <c r="W35" s="42"/>
      <c r="X35" s="42">
        <v>8676.42</v>
      </c>
    </row>
    <row r="36" spans="1:25" ht="12" customHeight="1" x14ac:dyDescent="0.15">
      <c r="A36" s="72">
        <v>2006</v>
      </c>
      <c r="B36" s="103">
        <v>18</v>
      </c>
      <c r="C36" s="77"/>
      <c r="D36" s="42">
        <v>450</v>
      </c>
      <c r="E36" s="42"/>
      <c r="F36" s="42">
        <v>230.5</v>
      </c>
      <c r="G36" s="45"/>
      <c r="H36" s="43">
        <v>680.5</v>
      </c>
      <c r="I36" s="43"/>
      <c r="J36" s="43">
        <v>330</v>
      </c>
      <c r="L36" s="97">
        <v>109.8</v>
      </c>
      <c r="M36" s="43"/>
      <c r="N36" s="43">
        <v>15</v>
      </c>
      <c r="O36" s="43"/>
      <c r="P36" s="43">
        <v>0</v>
      </c>
      <c r="R36" s="123">
        <v>0</v>
      </c>
      <c r="S36" s="123"/>
      <c r="T36" s="43">
        <v>0</v>
      </c>
      <c r="V36" s="102">
        <f t="shared" si="0"/>
        <v>1135.3</v>
      </c>
      <c r="W36" s="42"/>
      <c r="X36" s="42">
        <v>7678.34</v>
      </c>
    </row>
    <row r="37" spans="1:25" ht="12" customHeight="1" x14ac:dyDescent="0.15">
      <c r="A37" s="72">
        <v>2007</v>
      </c>
      <c r="B37" s="103">
        <v>21</v>
      </c>
      <c r="C37" s="77"/>
      <c r="D37" s="42">
        <v>650.27</v>
      </c>
      <c r="E37" s="42"/>
      <c r="F37" s="42">
        <v>79.75</v>
      </c>
      <c r="G37" s="45"/>
      <c r="H37" s="43">
        <v>730.02</v>
      </c>
      <c r="I37" s="43"/>
      <c r="J37" s="43">
        <v>200</v>
      </c>
      <c r="L37" s="97">
        <v>251</v>
      </c>
      <c r="M37" s="43"/>
      <c r="N37" s="43">
        <v>0</v>
      </c>
      <c r="O37" s="43"/>
      <c r="P37" s="43">
        <v>0</v>
      </c>
      <c r="R37" s="123">
        <v>0</v>
      </c>
      <c r="S37" s="123"/>
      <c r="T37" s="43">
        <v>0</v>
      </c>
      <c r="V37" s="102">
        <f t="shared" si="0"/>
        <v>1181.02</v>
      </c>
      <c r="W37" s="42"/>
      <c r="X37" s="42">
        <v>3494.54</v>
      </c>
    </row>
    <row r="38" spans="1:25" ht="12" customHeight="1" x14ac:dyDescent="0.15">
      <c r="A38" s="72">
        <v>2008</v>
      </c>
      <c r="B38" s="103">
        <v>12</v>
      </c>
      <c r="C38" s="77"/>
      <c r="D38" s="42">
        <v>1296.5820000000001</v>
      </c>
      <c r="E38" s="42"/>
      <c r="F38" s="42">
        <v>103.08</v>
      </c>
      <c r="G38" s="45"/>
      <c r="H38" s="43">
        <v>1399.662</v>
      </c>
      <c r="I38" s="43"/>
      <c r="J38" s="43">
        <v>425</v>
      </c>
      <c r="L38" s="97">
        <v>0</v>
      </c>
      <c r="M38" s="43"/>
      <c r="N38" s="43">
        <v>0</v>
      </c>
      <c r="O38" s="43"/>
      <c r="P38" s="43">
        <v>0</v>
      </c>
      <c r="R38" s="123">
        <v>0</v>
      </c>
      <c r="S38" s="123"/>
      <c r="T38" s="43">
        <v>0</v>
      </c>
      <c r="V38" s="102">
        <f t="shared" si="0"/>
        <v>1824.662</v>
      </c>
      <c r="W38" s="42"/>
      <c r="X38" s="42">
        <v>9667.4930000000004</v>
      </c>
    </row>
    <row r="39" spans="1:25" ht="12" customHeight="1" x14ac:dyDescent="0.15">
      <c r="A39" s="72">
        <v>2009</v>
      </c>
      <c r="B39" s="103">
        <v>10</v>
      </c>
      <c r="C39" s="77"/>
      <c r="D39" s="42">
        <v>403.57</v>
      </c>
      <c r="E39" s="42"/>
      <c r="F39" s="42">
        <v>220</v>
      </c>
      <c r="G39" s="45"/>
      <c r="H39" s="43">
        <v>623.56999999999994</v>
      </c>
      <c r="I39" s="43"/>
      <c r="J39" s="43">
        <v>220</v>
      </c>
      <c r="L39" s="97">
        <v>0</v>
      </c>
      <c r="M39" s="43"/>
      <c r="N39" s="43">
        <v>0</v>
      </c>
      <c r="O39" s="43"/>
      <c r="P39" s="43">
        <v>850</v>
      </c>
      <c r="R39" s="123">
        <v>0</v>
      </c>
      <c r="S39" s="123"/>
      <c r="T39" s="43">
        <v>0</v>
      </c>
      <c r="V39" s="102">
        <f t="shared" si="0"/>
        <v>1693.57</v>
      </c>
      <c r="W39" s="42"/>
      <c r="X39" s="42">
        <v>4196.42</v>
      </c>
    </row>
    <row r="40" spans="1:25" ht="12" customHeight="1" x14ac:dyDescent="0.15">
      <c r="A40" s="72">
        <v>2010</v>
      </c>
      <c r="B40" s="103">
        <v>16</v>
      </c>
      <c r="C40" s="77"/>
      <c r="D40" s="42">
        <v>714.73</v>
      </c>
      <c r="E40" s="42"/>
      <c r="F40" s="42">
        <v>235</v>
      </c>
      <c r="G40" s="45"/>
      <c r="H40" s="43">
        <v>949.73</v>
      </c>
      <c r="I40" s="43"/>
      <c r="J40" s="43">
        <v>200</v>
      </c>
      <c r="L40" s="97">
        <v>190</v>
      </c>
      <c r="M40" s="43"/>
      <c r="N40" s="43">
        <v>0</v>
      </c>
      <c r="O40" s="43"/>
      <c r="P40" s="43">
        <v>0</v>
      </c>
      <c r="R40" s="123">
        <v>0</v>
      </c>
      <c r="S40" s="123"/>
      <c r="T40" s="43">
        <v>2</v>
      </c>
      <c r="V40" s="102">
        <f t="shared" si="0"/>
        <v>1341.73</v>
      </c>
      <c r="W40" s="42"/>
      <c r="X40" s="42">
        <v>5322.42</v>
      </c>
    </row>
    <row r="41" spans="1:25" ht="12" customHeight="1" x14ac:dyDescent="0.15">
      <c r="A41" s="72">
        <v>2011</v>
      </c>
      <c r="B41" s="103">
        <v>14</v>
      </c>
      <c r="C41" s="77"/>
      <c r="D41" s="42">
        <v>1250</v>
      </c>
      <c r="E41" s="42"/>
      <c r="F41" s="42">
        <v>44</v>
      </c>
      <c r="G41" s="45"/>
      <c r="H41" s="43">
        <v>1294</v>
      </c>
      <c r="I41" s="43"/>
      <c r="J41" s="43">
        <v>200</v>
      </c>
      <c r="L41" s="97">
        <v>66.610000000000014</v>
      </c>
      <c r="M41" s="43"/>
      <c r="N41" s="43">
        <v>200</v>
      </c>
      <c r="O41" s="43"/>
      <c r="P41" s="43">
        <v>0</v>
      </c>
      <c r="R41" s="123">
        <v>0</v>
      </c>
      <c r="S41" s="123"/>
      <c r="T41" s="43">
        <v>0</v>
      </c>
      <c r="V41" s="102">
        <f t="shared" si="0"/>
        <v>1760.6100000000001</v>
      </c>
      <c r="W41" s="42"/>
      <c r="X41" s="42">
        <v>8938.5499999999993</v>
      </c>
    </row>
    <row r="42" spans="1:25" ht="12" customHeight="1" x14ac:dyDescent="0.15">
      <c r="A42" s="72">
        <v>2012</v>
      </c>
      <c r="B42" s="103">
        <v>19</v>
      </c>
      <c r="C42" s="77"/>
      <c r="D42" s="42">
        <v>951.84</v>
      </c>
      <c r="E42" s="125"/>
      <c r="F42" s="42">
        <v>131</v>
      </c>
      <c r="G42" s="45"/>
      <c r="H42" s="43">
        <v>1082.8399999999999</v>
      </c>
      <c r="I42" s="43"/>
      <c r="J42" s="43">
        <v>200</v>
      </c>
      <c r="K42" s="126" t="s">
        <v>53</v>
      </c>
      <c r="L42" s="97">
        <v>128</v>
      </c>
      <c r="M42" s="43"/>
      <c r="N42" s="43">
        <v>0</v>
      </c>
      <c r="O42" s="43"/>
      <c r="P42" s="43">
        <v>0</v>
      </c>
      <c r="R42" s="123">
        <v>200</v>
      </c>
      <c r="S42" s="123"/>
      <c r="T42" s="43">
        <v>0</v>
      </c>
      <c r="V42" s="102">
        <f t="shared" si="0"/>
        <v>1610.84</v>
      </c>
      <c r="W42" s="42"/>
      <c r="X42" s="42">
        <v>10063.64</v>
      </c>
    </row>
    <row r="43" spans="1:25" ht="12" customHeight="1" x14ac:dyDescent="0.15">
      <c r="A43" s="72">
        <v>2013</v>
      </c>
      <c r="B43" s="103">
        <v>19</v>
      </c>
      <c r="D43" s="44">
        <v>1282.1999999999998</v>
      </c>
      <c r="F43" s="44">
        <v>142</v>
      </c>
      <c r="H43" s="43">
        <v>1424.1999999999998</v>
      </c>
      <c r="I43" s="43"/>
      <c r="J43" s="100">
        <v>220</v>
      </c>
      <c r="K43" s="75" t="s">
        <v>53</v>
      </c>
      <c r="L43" s="98">
        <v>35</v>
      </c>
      <c r="N43" s="43">
        <v>0</v>
      </c>
      <c r="P43" s="43">
        <v>0</v>
      </c>
      <c r="R43" s="123">
        <v>0</v>
      </c>
      <c r="S43" s="123"/>
      <c r="T43" s="43">
        <v>0</v>
      </c>
      <c r="V43" s="102">
        <f t="shared" si="0"/>
        <v>1679.1999999999998</v>
      </c>
      <c r="W43" s="42"/>
      <c r="X43" s="42">
        <v>4773.83</v>
      </c>
    </row>
    <row r="44" spans="1:25" ht="12" customHeight="1" x14ac:dyDescent="0.15">
      <c r="A44" s="72">
        <v>2014</v>
      </c>
      <c r="B44" s="103">
        <v>25</v>
      </c>
      <c r="D44" s="44">
        <v>1713.5</v>
      </c>
      <c r="F44" s="44">
        <v>185</v>
      </c>
      <c r="H44" s="43">
        <v>1898.5</v>
      </c>
      <c r="I44" s="43"/>
      <c r="J44" s="100">
        <v>863</v>
      </c>
      <c r="K44" s="75" t="s">
        <v>53</v>
      </c>
      <c r="L44" s="97">
        <v>0</v>
      </c>
      <c r="N44" s="100">
        <v>20</v>
      </c>
      <c r="P44" s="43">
        <v>0</v>
      </c>
      <c r="R44" s="123">
        <v>0</v>
      </c>
      <c r="S44" s="123"/>
      <c r="T44" s="43">
        <v>0</v>
      </c>
      <c r="V44" s="102">
        <f t="shared" si="0"/>
        <v>2781.5</v>
      </c>
      <c r="W44" s="42"/>
      <c r="X44" s="42">
        <v>8870.1600000000017</v>
      </c>
    </row>
    <row r="45" spans="1:25" ht="12" customHeight="1" x14ac:dyDescent="0.15">
      <c r="A45" s="72">
        <v>2015</v>
      </c>
      <c r="B45" s="103">
        <v>27</v>
      </c>
      <c r="D45" s="44">
        <v>2150.3000000000002</v>
      </c>
      <c r="F45" s="44">
        <v>134</v>
      </c>
      <c r="H45" s="43">
        <v>2284.3000000000002</v>
      </c>
      <c r="I45" s="43"/>
      <c r="J45" s="100">
        <v>1085</v>
      </c>
      <c r="K45" s="75" t="s">
        <v>53</v>
      </c>
      <c r="L45" s="97">
        <v>231.2</v>
      </c>
      <c r="N45" s="100">
        <v>110</v>
      </c>
      <c r="P45" s="43">
        <v>0</v>
      </c>
      <c r="R45" s="123">
        <v>0</v>
      </c>
      <c r="S45" s="123"/>
      <c r="T45" s="43">
        <v>0</v>
      </c>
      <c r="V45" s="102">
        <f t="shared" si="0"/>
        <v>3710.5</v>
      </c>
      <c r="W45" s="42"/>
      <c r="X45" s="42">
        <v>40096.800000000003</v>
      </c>
    </row>
    <row r="46" spans="1:25" ht="12" customHeight="1" x14ac:dyDescent="0.15">
      <c r="A46" s="72">
        <v>2016</v>
      </c>
      <c r="B46" s="103">
        <v>25</v>
      </c>
      <c r="D46" s="44">
        <v>2410.1999999999998</v>
      </c>
      <c r="F46" s="44">
        <v>76.5</v>
      </c>
      <c r="H46" s="43">
        <v>2486.6999999999998</v>
      </c>
      <c r="I46" s="43"/>
      <c r="J46" s="100">
        <v>203</v>
      </c>
      <c r="K46" s="75" t="s">
        <v>53</v>
      </c>
      <c r="L46" s="97">
        <v>0</v>
      </c>
      <c r="N46" s="100">
        <v>15</v>
      </c>
      <c r="P46" s="43">
        <v>0</v>
      </c>
      <c r="R46" s="123">
        <v>0</v>
      </c>
      <c r="S46" s="123"/>
      <c r="T46" s="43">
        <v>0</v>
      </c>
      <c r="V46" s="102">
        <f>SUM(H46:T46)</f>
        <v>2704.7</v>
      </c>
      <c r="W46" s="42"/>
      <c r="X46" s="42">
        <v>42250.13</v>
      </c>
    </row>
    <row r="47" spans="1:25" ht="3.75" customHeight="1" x14ac:dyDescent="0.15">
      <c r="A47" s="72"/>
      <c r="B47" s="103"/>
      <c r="D47" s="42"/>
      <c r="E47" s="42"/>
      <c r="F47" s="42"/>
      <c r="G47" s="42"/>
      <c r="R47" s="123"/>
      <c r="S47" s="123"/>
      <c r="V47" s="42"/>
      <c r="W47" s="42"/>
    </row>
    <row r="48" spans="1:25" ht="14.25" customHeight="1" x14ac:dyDescent="0.15">
      <c r="A48" s="78" t="s">
        <v>17</v>
      </c>
      <c r="B48" s="104">
        <f>SUM(B13:B46)-11</f>
        <v>373</v>
      </c>
      <c r="C48" s="127" t="s">
        <v>52</v>
      </c>
      <c r="D48" s="79">
        <f>SUM(D13:D46)</f>
        <v>15397.741999999998</v>
      </c>
      <c r="E48" s="79"/>
      <c r="F48" s="79">
        <f>SUM(F13:F47)</f>
        <v>2640.7329999999997</v>
      </c>
      <c r="G48" s="79"/>
      <c r="H48" s="99">
        <f>F48+D48-0.01</f>
        <v>18038.465</v>
      </c>
      <c r="I48" s="79"/>
      <c r="J48" s="99">
        <f>SUM(J13:J47)</f>
        <v>4851.8069999999998</v>
      </c>
      <c r="K48" s="96"/>
      <c r="L48" s="99">
        <f>SUM(L13:L47)</f>
        <v>1095.01</v>
      </c>
      <c r="M48" s="79"/>
      <c r="N48" s="101">
        <f>SUM(N13:N47)</f>
        <v>430</v>
      </c>
      <c r="O48" s="79"/>
      <c r="P48" s="80">
        <f>SUM(P13:P47)</f>
        <v>1000</v>
      </c>
      <c r="Q48" s="80"/>
      <c r="R48" s="124">
        <f>SUM(R13:R47)</f>
        <v>200</v>
      </c>
      <c r="S48" s="124"/>
      <c r="T48" s="80">
        <f>SUM(T13:T47)</f>
        <v>2</v>
      </c>
      <c r="U48" s="80"/>
      <c r="V48" s="99">
        <f>SUM(V13:V47)</f>
        <v>25617.292000000001</v>
      </c>
      <c r="W48" s="80"/>
      <c r="X48" s="79">
        <f>SUM(X13:X47)-0.01</f>
        <v>176374.39500000002</v>
      </c>
      <c r="Y48" s="120"/>
    </row>
    <row r="49" spans="1:25" ht="11.25" customHeight="1" x14ac:dyDescent="0.15">
      <c r="A49" s="107" t="s">
        <v>71</v>
      </c>
      <c r="B49" s="108"/>
      <c r="C49" s="109"/>
      <c r="D49" s="110"/>
      <c r="E49" s="110"/>
      <c r="F49" s="110"/>
      <c r="G49" s="110"/>
      <c r="H49" s="110"/>
      <c r="I49" s="110"/>
      <c r="J49" s="110"/>
      <c r="K49" s="111"/>
      <c r="L49" s="110"/>
      <c r="M49" s="110"/>
      <c r="N49" s="110"/>
      <c r="O49" s="110"/>
      <c r="P49" s="112"/>
      <c r="Q49" s="112"/>
      <c r="R49" s="112"/>
      <c r="S49" s="112"/>
      <c r="T49" s="112"/>
      <c r="U49" s="112"/>
      <c r="V49" s="110"/>
      <c r="W49" s="110"/>
      <c r="X49" s="113"/>
      <c r="Y49" s="44"/>
    </row>
    <row r="50" spans="1:25" ht="11.25" customHeight="1" x14ac:dyDescent="0.15">
      <c r="A50" s="113" t="s">
        <v>69</v>
      </c>
      <c r="B50" s="114"/>
      <c r="C50" s="115"/>
      <c r="D50" s="116"/>
      <c r="E50" s="116"/>
      <c r="F50" s="116"/>
      <c r="G50" s="116"/>
      <c r="H50" s="117"/>
      <c r="I50" s="117"/>
      <c r="J50" s="117"/>
      <c r="K50" s="118"/>
      <c r="L50" s="117"/>
      <c r="M50" s="117"/>
      <c r="N50" s="117"/>
      <c r="O50" s="117"/>
      <c r="P50" s="119"/>
      <c r="Q50" s="119"/>
      <c r="R50" s="119"/>
      <c r="S50" s="119"/>
      <c r="T50" s="119"/>
      <c r="U50" s="119"/>
      <c r="V50" s="116"/>
      <c r="W50" s="116"/>
      <c r="X50" s="113"/>
    </row>
    <row r="51" spans="1:25" ht="11.25" customHeight="1" x14ac:dyDescent="0.15">
      <c r="A51" s="113" t="s">
        <v>60</v>
      </c>
      <c r="B51" s="114"/>
      <c r="C51" s="115"/>
      <c r="D51" s="116"/>
      <c r="E51" s="116"/>
      <c r="F51" s="116"/>
      <c r="G51" s="116"/>
      <c r="H51" s="117"/>
      <c r="I51" s="117"/>
      <c r="J51" s="117"/>
      <c r="K51" s="118"/>
      <c r="L51" s="117"/>
      <c r="M51" s="117"/>
      <c r="N51" s="117"/>
      <c r="O51" s="117"/>
      <c r="P51" s="119"/>
      <c r="Q51" s="119"/>
      <c r="R51" s="119"/>
      <c r="S51" s="119"/>
      <c r="T51" s="119"/>
      <c r="U51" s="119"/>
      <c r="V51" s="116"/>
      <c r="W51" s="116"/>
      <c r="X51" s="113"/>
    </row>
    <row r="52" spans="1:25" ht="11.25" customHeight="1" x14ac:dyDescent="0.15">
      <c r="A52" s="113" t="s">
        <v>74</v>
      </c>
      <c r="B52" s="114"/>
      <c r="C52" s="115"/>
      <c r="D52" s="116"/>
      <c r="E52" s="116"/>
      <c r="F52" s="116"/>
      <c r="G52" s="116"/>
      <c r="H52" s="117"/>
      <c r="I52" s="117"/>
      <c r="J52" s="117"/>
      <c r="K52" s="118"/>
      <c r="L52" s="117"/>
      <c r="M52" s="117"/>
      <c r="N52" s="117"/>
      <c r="O52" s="117"/>
      <c r="P52" s="119"/>
      <c r="Q52" s="119"/>
      <c r="R52" s="119"/>
      <c r="S52" s="119"/>
      <c r="T52" s="119"/>
      <c r="U52" s="119"/>
      <c r="V52" s="116"/>
      <c r="W52" s="116"/>
      <c r="X52" s="113"/>
    </row>
    <row r="53" spans="1:25" ht="11.25" customHeight="1" x14ac:dyDescent="0.15">
      <c r="A53" s="113" t="s">
        <v>75</v>
      </c>
      <c r="B53" s="114"/>
      <c r="C53" s="115"/>
      <c r="D53" s="116"/>
      <c r="E53" s="116"/>
      <c r="F53" s="116"/>
      <c r="G53" s="116"/>
      <c r="H53" s="117"/>
      <c r="I53" s="117"/>
      <c r="J53" s="117"/>
      <c r="K53" s="118"/>
      <c r="L53" s="117"/>
      <c r="M53" s="117"/>
      <c r="N53" s="117"/>
      <c r="O53" s="117"/>
      <c r="P53" s="119"/>
      <c r="Q53" s="119"/>
      <c r="R53" s="119"/>
      <c r="S53" s="119"/>
      <c r="T53" s="119"/>
      <c r="U53" s="119"/>
      <c r="V53" s="116"/>
      <c r="W53" s="116"/>
      <c r="X53" s="113"/>
    </row>
    <row r="54" spans="1:25" ht="11.25" customHeight="1" x14ac:dyDescent="0.15">
      <c r="A54" s="113" t="s">
        <v>76</v>
      </c>
      <c r="B54" s="114"/>
      <c r="C54" s="115"/>
      <c r="D54" s="116"/>
      <c r="E54" s="116"/>
      <c r="F54" s="116"/>
      <c r="G54" s="116"/>
      <c r="H54" s="117"/>
      <c r="I54" s="117"/>
      <c r="J54" s="117"/>
      <c r="K54" s="118"/>
      <c r="L54" s="117"/>
      <c r="M54" s="117"/>
      <c r="N54" s="117"/>
      <c r="O54" s="117"/>
      <c r="P54" s="119"/>
      <c r="Q54" s="119"/>
      <c r="R54" s="119"/>
      <c r="S54" s="119"/>
      <c r="T54" s="119"/>
      <c r="U54" s="119"/>
      <c r="V54" s="116"/>
      <c r="W54" s="116"/>
      <c r="X54" s="113"/>
    </row>
    <row r="55" spans="1:25" ht="11.25" customHeight="1" x14ac:dyDescent="0.15">
      <c r="A55" s="113" t="s">
        <v>77</v>
      </c>
      <c r="B55" s="114"/>
      <c r="C55" s="115"/>
      <c r="D55" s="116"/>
      <c r="E55" s="116"/>
      <c r="F55" s="116"/>
      <c r="G55" s="116"/>
      <c r="H55" s="117"/>
      <c r="I55" s="117"/>
      <c r="J55" s="117"/>
      <c r="K55" s="118"/>
      <c r="L55" s="117"/>
      <c r="M55" s="117"/>
      <c r="N55" s="117"/>
      <c r="O55" s="117"/>
      <c r="P55" s="119"/>
      <c r="Q55" s="119"/>
      <c r="R55" s="119"/>
      <c r="S55" s="119"/>
      <c r="T55" s="119"/>
      <c r="U55" s="119"/>
      <c r="V55" s="116"/>
      <c r="W55" s="116"/>
      <c r="X55" s="113"/>
    </row>
    <row r="56" spans="1:25" ht="11.25" customHeight="1" x14ac:dyDescent="0.15">
      <c r="A56" s="128" t="s">
        <v>78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</row>
  </sheetData>
  <mergeCells count="22">
    <mergeCell ref="N10:O10"/>
    <mergeCell ref="N11:O11"/>
    <mergeCell ref="P10:Q10"/>
    <mergeCell ref="P11:Q11"/>
    <mergeCell ref="R10:S10"/>
    <mergeCell ref="R11:S11"/>
    <mergeCell ref="A56:X56"/>
    <mergeCell ref="J11:K11"/>
    <mergeCell ref="J10:K10"/>
    <mergeCell ref="D11:E11"/>
    <mergeCell ref="B10:C10"/>
    <mergeCell ref="B11:C11"/>
    <mergeCell ref="F10:G10"/>
    <mergeCell ref="F11:G11"/>
    <mergeCell ref="H10:I10"/>
    <mergeCell ref="H11:I11"/>
    <mergeCell ref="L10:M10"/>
    <mergeCell ref="L11:M11"/>
    <mergeCell ref="V10:W10"/>
    <mergeCell ref="V11:W11"/>
    <mergeCell ref="X10:Y10"/>
    <mergeCell ref="X11:Y11"/>
  </mergeCells>
  <phoneticPr fontId="0" type="noConversion"/>
  <printOptions horizontalCentered="1"/>
  <pageMargins left="0.5" right="0.5" top="0.5" bottom="0.5" header="0.51" footer="0.5"/>
  <pageSetup scale="84" orientation="landscape" horizontalDpi="300" verticalDpi="300"/>
  <drawing r:id="rId1"/>
  <extLst>
    <ext xmlns:mx="http://schemas.microsoft.com/office/mac/excel/2008/main" uri="{64002731-A6B0-56B0-2670-7721B7C09600}">
      <mx:PLV Mode="1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topLeftCell="A30" workbookViewId="0">
      <selection activeCell="N48" sqref="N48"/>
    </sheetView>
  </sheetViews>
  <sheetFormatPr baseColWidth="10" defaultColWidth="9.1640625" defaultRowHeight="11.25" customHeight="1" x14ac:dyDescent="0.15"/>
  <cols>
    <col min="1" max="1" width="7.5" style="1" customWidth="1"/>
    <col min="2" max="2" width="8.33203125" style="8" hidden="1" customWidth="1"/>
    <col min="3" max="3" width="1.33203125" style="8" hidden="1" customWidth="1"/>
    <col min="4" max="4" width="7.33203125" style="11" bestFit="1" customWidth="1"/>
    <col min="5" max="5" width="2.33203125" style="11" customWidth="1"/>
    <col min="6" max="6" width="9.1640625" style="11"/>
    <col min="7" max="7" width="2.5" style="11" customWidth="1"/>
    <col min="8" max="8" width="7.1640625" style="10" customWidth="1"/>
    <col min="9" max="9" width="11.1640625" style="10" customWidth="1"/>
    <col min="10" max="10" width="7.6640625" style="10" customWidth="1"/>
    <col min="11" max="12" width="9.1640625" style="10" bestFit="1"/>
    <col min="13" max="13" width="6.83203125" style="10" bestFit="1" customWidth="1"/>
    <col min="14" max="14" width="6.83203125" style="10" customWidth="1"/>
    <col min="15" max="15" width="9" style="11" customWidth="1"/>
    <col min="16" max="16" width="9" style="10" bestFit="1" customWidth="1"/>
    <col min="17" max="16384" width="9.1640625" style="1"/>
  </cols>
  <sheetData>
    <row r="1" spans="1:16" ht="11.25" customHeight="1" x14ac:dyDescent="0.15">
      <c r="A1" s="2" t="s">
        <v>26</v>
      </c>
      <c r="B1" s="6"/>
      <c r="C1" s="6"/>
      <c r="D1" s="9"/>
      <c r="E1" s="9"/>
      <c r="F1" s="9"/>
      <c r="G1" s="9"/>
    </row>
    <row r="2" spans="1:16" ht="11.25" customHeight="1" x14ac:dyDescent="0.15">
      <c r="A2" s="2" t="s">
        <v>32</v>
      </c>
      <c r="B2" s="6"/>
      <c r="C2" s="6"/>
      <c r="D2" s="9"/>
      <c r="E2" s="9"/>
      <c r="F2" s="9"/>
      <c r="G2" s="9"/>
    </row>
    <row r="3" spans="1:16" ht="11.25" customHeight="1" x14ac:dyDescent="0.15">
      <c r="A3" s="3" t="s">
        <v>0</v>
      </c>
      <c r="B3" s="7"/>
      <c r="C3" s="7"/>
    </row>
    <row r="5" spans="1:16" ht="11.25" customHeight="1" x14ac:dyDescent="0.15">
      <c r="A5" s="18"/>
      <c r="B5" s="19"/>
      <c r="C5" s="19"/>
      <c r="D5" s="12"/>
      <c r="E5" s="12"/>
      <c r="F5" s="12"/>
      <c r="G5" s="12"/>
      <c r="H5" s="12" t="s">
        <v>1</v>
      </c>
      <c r="I5" s="142" t="s">
        <v>23</v>
      </c>
      <c r="J5" s="142"/>
      <c r="K5" s="12" t="s">
        <v>21</v>
      </c>
      <c r="L5" s="12" t="s">
        <v>14</v>
      </c>
      <c r="M5" s="12" t="s">
        <v>27</v>
      </c>
      <c r="N5" s="12"/>
      <c r="O5" s="20" t="s">
        <v>1</v>
      </c>
      <c r="P5" s="12" t="s">
        <v>11</v>
      </c>
    </row>
    <row r="6" spans="1:16" ht="11.25" customHeight="1" x14ac:dyDescent="0.15">
      <c r="A6" s="21"/>
      <c r="B6" s="22" t="s">
        <v>2</v>
      </c>
      <c r="C6" s="22"/>
      <c r="D6" s="23"/>
      <c r="E6" s="23"/>
      <c r="F6" s="24" t="s">
        <v>3</v>
      </c>
      <c r="G6" s="24"/>
      <c r="H6" s="25" t="s">
        <v>9</v>
      </c>
      <c r="I6" s="141" t="s">
        <v>24</v>
      </c>
      <c r="J6" s="141"/>
      <c r="K6" s="23" t="s">
        <v>22</v>
      </c>
      <c r="L6" s="23" t="s">
        <v>15</v>
      </c>
      <c r="M6" s="24" t="s">
        <v>28</v>
      </c>
      <c r="N6" s="24"/>
      <c r="O6" s="26" t="s">
        <v>9</v>
      </c>
      <c r="P6" s="13" t="s">
        <v>12</v>
      </c>
    </row>
    <row r="7" spans="1:16" ht="11.25" customHeight="1" x14ac:dyDescent="0.15">
      <c r="A7" s="27" t="s">
        <v>4</v>
      </c>
      <c r="B7" s="28" t="s">
        <v>18</v>
      </c>
      <c r="C7" s="28"/>
      <c r="D7" s="14" t="s">
        <v>5</v>
      </c>
      <c r="E7" s="14"/>
      <c r="F7" s="29" t="s">
        <v>19</v>
      </c>
      <c r="G7" s="29"/>
      <c r="H7" s="14" t="s">
        <v>6</v>
      </c>
      <c r="I7" s="30" t="s">
        <v>25</v>
      </c>
      <c r="J7" s="30"/>
      <c r="K7" s="14" t="s">
        <v>16</v>
      </c>
      <c r="L7" s="14" t="s">
        <v>16</v>
      </c>
      <c r="M7" s="30" t="s">
        <v>29</v>
      </c>
      <c r="N7" s="30"/>
      <c r="O7" s="31" t="s">
        <v>20</v>
      </c>
      <c r="P7" s="14" t="s">
        <v>13</v>
      </c>
    </row>
    <row r="8" spans="1:16" ht="11.25" customHeight="1" x14ac:dyDescent="0.15">
      <c r="D8" s="10"/>
      <c r="E8" s="10"/>
      <c r="F8" s="10"/>
      <c r="G8" s="10"/>
    </row>
    <row r="9" spans="1:16" ht="11.25" hidden="1" customHeight="1" x14ac:dyDescent="0.15">
      <c r="A9" s="4">
        <v>1983</v>
      </c>
      <c r="B9" s="8">
        <v>2</v>
      </c>
      <c r="D9" s="34">
        <v>0</v>
      </c>
      <c r="E9" s="10"/>
      <c r="F9" s="10">
        <v>2.96</v>
      </c>
      <c r="G9" s="10"/>
      <c r="H9" s="34">
        <f t="shared" ref="H9:H31" si="0">D9+F9</f>
        <v>2.96</v>
      </c>
      <c r="I9" s="34">
        <v>0</v>
      </c>
      <c r="K9" s="34">
        <v>0</v>
      </c>
      <c r="L9" s="34">
        <v>0</v>
      </c>
      <c r="M9" s="34">
        <v>0</v>
      </c>
      <c r="N9" s="34"/>
      <c r="O9" s="10">
        <f t="shared" ref="O9:O31" si="1">H9+I9+L9+K9+M9</f>
        <v>2.96</v>
      </c>
      <c r="P9" s="10">
        <v>36</v>
      </c>
    </row>
    <row r="10" spans="1:16" ht="11.25" hidden="1" customHeight="1" x14ac:dyDescent="0.15">
      <c r="A10" s="4">
        <v>1984</v>
      </c>
      <c r="B10" s="8">
        <v>1</v>
      </c>
      <c r="D10" s="34">
        <v>0</v>
      </c>
      <c r="E10" s="10"/>
      <c r="F10" s="10">
        <v>0.42</v>
      </c>
      <c r="G10" s="10"/>
      <c r="H10" s="34">
        <f t="shared" si="0"/>
        <v>0.42</v>
      </c>
      <c r="I10" s="34">
        <v>0</v>
      </c>
      <c r="K10" s="34">
        <v>0</v>
      </c>
      <c r="L10" s="34">
        <v>0</v>
      </c>
      <c r="M10" s="34">
        <v>0</v>
      </c>
      <c r="N10" s="34"/>
      <c r="O10" s="10">
        <f t="shared" si="1"/>
        <v>0.42</v>
      </c>
      <c r="P10" s="10">
        <v>2.8</v>
      </c>
    </row>
    <row r="11" spans="1:16" ht="11.25" hidden="1" customHeight="1" x14ac:dyDescent="0.15">
      <c r="A11" s="4">
        <v>1985</v>
      </c>
      <c r="B11" s="8">
        <v>5</v>
      </c>
      <c r="D11" s="34">
        <v>0</v>
      </c>
      <c r="E11" s="10"/>
      <c r="F11" s="10">
        <v>3.4</v>
      </c>
      <c r="G11" s="10"/>
      <c r="H11" s="34">
        <f t="shared" si="0"/>
        <v>3.4</v>
      </c>
      <c r="I11" s="34">
        <v>0</v>
      </c>
      <c r="K11" s="34">
        <v>0</v>
      </c>
      <c r="L11" s="34">
        <v>0</v>
      </c>
      <c r="M11" s="34">
        <v>0</v>
      </c>
      <c r="N11" s="34"/>
      <c r="O11" s="10">
        <f t="shared" si="1"/>
        <v>3.4</v>
      </c>
      <c r="P11" s="10">
        <v>39.68</v>
      </c>
    </row>
    <row r="12" spans="1:16" ht="11.25" hidden="1" customHeight="1" x14ac:dyDescent="0.15">
      <c r="A12" s="4">
        <v>1986</v>
      </c>
      <c r="B12" s="8">
        <v>5</v>
      </c>
      <c r="D12" s="34">
        <v>6.46</v>
      </c>
      <c r="E12" s="10"/>
      <c r="F12" s="10">
        <v>6.0129999999999999</v>
      </c>
      <c r="G12" s="10"/>
      <c r="H12" s="34">
        <f t="shared" si="0"/>
        <v>12.472999999999999</v>
      </c>
      <c r="I12" s="34">
        <v>0</v>
      </c>
      <c r="K12" s="34">
        <v>0</v>
      </c>
      <c r="L12" s="34">
        <v>0</v>
      </c>
      <c r="M12" s="34">
        <v>0</v>
      </c>
      <c r="N12" s="34"/>
      <c r="O12" s="10">
        <f t="shared" si="1"/>
        <v>12.472999999999999</v>
      </c>
      <c r="P12" s="10">
        <v>42.716999999999999</v>
      </c>
    </row>
    <row r="13" spans="1:16" ht="11.25" hidden="1" customHeight="1" x14ac:dyDescent="0.15">
      <c r="A13" s="4">
        <v>1987</v>
      </c>
      <c r="B13" s="8">
        <v>8</v>
      </c>
      <c r="D13" s="34">
        <f>18+2.5</f>
        <v>20.5</v>
      </c>
      <c r="E13" s="10"/>
      <c r="F13" s="10">
        <f>7+15.605+5</f>
        <v>27.605</v>
      </c>
      <c r="G13" s="10"/>
      <c r="H13" s="34">
        <f t="shared" si="0"/>
        <v>48.105000000000004</v>
      </c>
      <c r="I13" s="35">
        <v>5</v>
      </c>
      <c r="J13" s="15"/>
      <c r="K13" s="34">
        <v>0</v>
      </c>
      <c r="L13" s="34">
        <v>0</v>
      </c>
      <c r="M13" s="34">
        <v>0</v>
      </c>
      <c r="N13" s="34"/>
      <c r="O13" s="10">
        <f t="shared" si="1"/>
        <v>53.105000000000004</v>
      </c>
      <c r="P13" s="10">
        <v>524.34</v>
      </c>
    </row>
    <row r="14" spans="1:16" ht="11.25" hidden="1" customHeight="1" x14ac:dyDescent="0.15">
      <c r="A14" s="4">
        <v>1988</v>
      </c>
      <c r="B14" s="8">
        <v>12</v>
      </c>
      <c r="D14" s="34">
        <v>58</v>
      </c>
      <c r="E14" s="10"/>
      <c r="F14" s="10">
        <f>8+7.67+20</f>
        <v>35.67</v>
      </c>
      <c r="G14" s="10"/>
      <c r="H14" s="34">
        <f t="shared" si="0"/>
        <v>93.67</v>
      </c>
      <c r="I14" s="34">
        <v>0</v>
      </c>
      <c r="K14" s="34">
        <v>0</v>
      </c>
      <c r="L14" s="34">
        <v>0</v>
      </c>
      <c r="M14" s="34">
        <v>0</v>
      </c>
      <c r="N14" s="34"/>
      <c r="O14" s="10">
        <f t="shared" si="1"/>
        <v>93.67</v>
      </c>
      <c r="P14" s="10">
        <v>524.24</v>
      </c>
    </row>
    <row r="15" spans="1:16" ht="11.25" hidden="1" customHeight="1" x14ac:dyDescent="0.15">
      <c r="A15" s="4">
        <v>1989</v>
      </c>
      <c r="B15" s="8">
        <v>16</v>
      </c>
      <c r="D15" s="34">
        <f>89.7+6</f>
        <v>95.7</v>
      </c>
      <c r="E15" s="10"/>
      <c r="F15" s="10">
        <f>2+54.39+11.2</f>
        <v>67.59</v>
      </c>
      <c r="G15" s="10"/>
      <c r="H15" s="34">
        <f t="shared" si="0"/>
        <v>163.29000000000002</v>
      </c>
      <c r="I15" s="34">
        <v>51.1</v>
      </c>
      <c r="K15" s="34">
        <v>0</v>
      </c>
      <c r="L15" s="34">
        <v>0</v>
      </c>
      <c r="M15" s="34">
        <v>0</v>
      </c>
      <c r="N15" s="34"/>
      <c r="O15" s="10">
        <f t="shared" si="1"/>
        <v>214.39000000000001</v>
      </c>
      <c r="P15" s="10">
        <v>1178.55</v>
      </c>
    </row>
    <row r="16" spans="1:16" ht="11.25" hidden="1" customHeight="1" x14ac:dyDescent="0.15">
      <c r="A16" s="4">
        <v>1990</v>
      </c>
      <c r="B16" s="8">
        <v>17</v>
      </c>
      <c r="D16" s="34">
        <f>72.85+6</f>
        <v>78.849999999999994</v>
      </c>
      <c r="E16" s="10"/>
      <c r="F16" s="10">
        <f>8+23.623+4.32</f>
        <v>35.942999999999998</v>
      </c>
      <c r="G16" s="10"/>
      <c r="H16" s="34">
        <f t="shared" si="0"/>
        <v>114.79299999999999</v>
      </c>
      <c r="I16" s="34">
        <v>24</v>
      </c>
      <c r="K16" s="34">
        <v>0</v>
      </c>
      <c r="L16" s="34">
        <v>0</v>
      </c>
      <c r="M16" s="34">
        <v>0</v>
      </c>
      <c r="N16" s="34"/>
      <c r="O16" s="10">
        <f t="shared" si="1"/>
        <v>138.79300000000001</v>
      </c>
      <c r="P16" s="10">
        <v>2051.63</v>
      </c>
    </row>
    <row r="17" spans="1:16" ht="11.25" hidden="1" customHeight="1" x14ac:dyDescent="0.15">
      <c r="A17" s="4">
        <v>1991</v>
      </c>
      <c r="B17" s="8">
        <v>10</v>
      </c>
      <c r="D17" s="34">
        <f>156.8</f>
        <v>156.80000000000001</v>
      </c>
      <c r="E17" s="10"/>
      <c r="F17" s="10">
        <f>20.518</f>
        <v>20.518000000000001</v>
      </c>
      <c r="G17" s="10"/>
      <c r="H17" s="34">
        <f t="shared" si="0"/>
        <v>177.31800000000001</v>
      </c>
      <c r="I17" s="34">
        <v>0</v>
      </c>
      <c r="K17" s="34">
        <v>0</v>
      </c>
      <c r="L17" s="34">
        <v>0</v>
      </c>
      <c r="M17" s="34">
        <v>0</v>
      </c>
      <c r="N17" s="34"/>
      <c r="O17" s="10">
        <f t="shared" si="1"/>
        <v>177.31800000000001</v>
      </c>
      <c r="P17" s="10">
        <v>1330.07</v>
      </c>
    </row>
    <row r="18" spans="1:16" ht="11.25" hidden="1" customHeight="1" x14ac:dyDescent="0.15">
      <c r="A18" s="4">
        <v>1992</v>
      </c>
      <c r="B18" s="8">
        <v>4</v>
      </c>
      <c r="D18" s="34">
        <v>50</v>
      </c>
      <c r="E18" s="10"/>
      <c r="F18" s="10">
        <v>5.42</v>
      </c>
      <c r="G18" s="10"/>
      <c r="H18" s="34">
        <f t="shared" si="0"/>
        <v>55.42</v>
      </c>
      <c r="I18" s="34">
        <v>81.5</v>
      </c>
      <c r="K18" s="34">
        <v>0</v>
      </c>
      <c r="L18" s="34">
        <v>0</v>
      </c>
      <c r="M18" s="34">
        <v>0</v>
      </c>
      <c r="N18" s="34"/>
      <c r="O18" s="10">
        <f t="shared" si="1"/>
        <v>136.92000000000002</v>
      </c>
      <c r="P18" s="10">
        <v>409.39</v>
      </c>
    </row>
    <row r="19" spans="1:16" ht="11.25" hidden="1" customHeight="1" x14ac:dyDescent="0.15">
      <c r="A19" s="4">
        <v>1993</v>
      </c>
      <c r="B19" s="8">
        <v>9</v>
      </c>
      <c r="D19" s="34">
        <v>182.1</v>
      </c>
      <c r="E19" s="10"/>
      <c r="F19" s="10">
        <v>20.7</v>
      </c>
      <c r="G19" s="10"/>
      <c r="H19" s="34">
        <f t="shared" si="0"/>
        <v>202.79999999999998</v>
      </c>
      <c r="I19" s="34">
        <v>19.3</v>
      </c>
      <c r="K19" s="34">
        <v>0</v>
      </c>
      <c r="L19" s="34">
        <v>0</v>
      </c>
      <c r="M19" s="34">
        <v>0</v>
      </c>
      <c r="N19" s="34"/>
      <c r="O19" s="10">
        <f t="shared" si="1"/>
        <v>222.1</v>
      </c>
      <c r="P19" s="10">
        <v>1513.7</v>
      </c>
    </row>
    <row r="20" spans="1:16" ht="11.25" hidden="1" customHeight="1" x14ac:dyDescent="0.15">
      <c r="A20" s="4">
        <v>1994</v>
      </c>
      <c r="B20" s="8">
        <v>9</v>
      </c>
      <c r="D20" s="34">
        <v>0</v>
      </c>
      <c r="E20" s="10"/>
      <c r="F20" s="10">
        <v>48.7</v>
      </c>
      <c r="G20" s="10"/>
      <c r="H20" s="34">
        <f t="shared" si="0"/>
        <v>48.7</v>
      </c>
      <c r="I20" s="34">
        <v>0</v>
      </c>
      <c r="K20" s="34">
        <v>0</v>
      </c>
      <c r="L20" s="34">
        <v>0</v>
      </c>
      <c r="M20" s="34">
        <v>0</v>
      </c>
      <c r="N20" s="34"/>
      <c r="O20" s="10">
        <f t="shared" si="1"/>
        <v>48.7</v>
      </c>
      <c r="P20" s="10">
        <v>919.2</v>
      </c>
    </row>
    <row r="21" spans="1:16" ht="11.25" hidden="1" customHeight="1" x14ac:dyDescent="0.15">
      <c r="A21" s="4">
        <v>1995</v>
      </c>
      <c r="B21" s="8">
        <v>8</v>
      </c>
      <c r="D21" s="34">
        <f>86.5-18.5</f>
        <v>68</v>
      </c>
      <c r="E21" s="10"/>
      <c r="F21" s="10">
        <v>99.414000000000001</v>
      </c>
      <c r="G21" s="10"/>
      <c r="H21" s="34">
        <f t="shared" si="0"/>
        <v>167.41399999999999</v>
      </c>
      <c r="I21" s="34">
        <v>5.83</v>
      </c>
      <c r="K21" s="34">
        <v>0</v>
      </c>
      <c r="L21" s="34">
        <v>0</v>
      </c>
      <c r="M21" s="34">
        <v>0</v>
      </c>
      <c r="N21" s="34"/>
      <c r="O21" s="10">
        <f t="shared" si="1"/>
        <v>173.244</v>
      </c>
      <c r="P21" s="10">
        <v>1050.3219999999999</v>
      </c>
    </row>
    <row r="22" spans="1:16" ht="11.25" hidden="1" customHeight="1" x14ac:dyDescent="0.15">
      <c r="A22" s="4">
        <v>1996</v>
      </c>
      <c r="B22" s="8">
        <v>8</v>
      </c>
      <c r="D22" s="34">
        <v>98.5</v>
      </c>
      <c r="E22" s="10"/>
      <c r="F22" s="10">
        <v>80.150000000000006</v>
      </c>
      <c r="G22" s="10"/>
      <c r="H22" s="34">
        <f t="shared" si="0"/>
        <v>178.65</v>
      </c>
      <c r="I22" s="34">
        <v>91.5</v>
      </c>
      <c r="K22" s="34">
        <v>0</v>
      </c>
      <c r="L22" s="34">
        <v>0</v>
      </c>
      <c r="M22" s="34">
        <v>0</v>
      </c>
      <c r="N22" s="34"/>
      <c r="O22" s="10">
        <f t="shared" si="1"/>
        <v>270.14999999999998</v>
      </c>
      <c r="P22" s="10">
        <v>1788.77</v>
      </c>
    </row>
    <row r="23" spans="1:16" ht="11.25" hidden="1" customHeight="1" x14ac:dyDescent="0.15">
      <c r="A23" s="4">
        <v>1997</v>
      </c>
      <c r="B23" s="8">
        <f>6-1</f>
        <v>5</v>
      </c>
      <c r="D23" s="34">
        <f>45</f>
        <v>45</v>
      </c>
      <c r="E23" s="10"/>
      <c r="F23" s="10">
        <f>59.5-10</f>
        <v>49.5</v>
      </c>
      <c r="G23" s="10"/>
      <c r="H23" s="34">
        <f t="shared" si="0"/>
        <v>94.5</v>
      </c>
      <c r="I23" s="34">
        <v>0</v>
      </c>
      <c r="K23" s="34">
        <v>50</v>
      </c>
      <c r="L23" s="34">
        <v>0</v>
      </c>
      <c r="M23" s="34">
        <v>0</v>
      </c>
      <c r="N23" s="34"/>
      <c r="O23" s="10">
        <f t="shared" si="1"/>
        <v>144.5</v>
      </c>
      <c r="P23" s="10">
        <v>1239.69</v>
      </c>
    </row>
    <row r="24" spans="1:16" ht="11.25" hidden="1" customHeight="1" x14ac:dyDescent="0.15">
      <c r="A24" s="4">
        <v>1998</v>
      </c>
      <c r="B24" s="8">
        <v>6</v>
      </c>
      <c r="D24" s="34">
        <v>136.12</v>
      </c>
      <c r="E24" s="10"/>
      <c r="F24" s="10">
        <f>62.44-20-3</f>
        <v>39.44</v>
      </c>
      <c r="G24" s="10"/>
      <c r="H24" s="34">
        <f t="shared" si="0"/>
        <v>175.56</v>
      </c>
      <c r="I24" s="34">
        <v>151.077</v>
      </c>
      <c r="K24" s="34">
        <v>65</v>
      </c>
      <c r="L24" s="34">
        <v>0</v>
      </c>
      <c r="M24" s="34">
        <v>0</v>
      </c>
      <c r="N24" s="34"/>
      <c r="O24" s="10">
        <f t="shared" si="1"/>
        <v>391.637</v>
      </c>
      <c r="P24" s="10">
        <v>1152.7</v>
      </c>
    </row>
    <row r="25" spans="1:16" ht="11.25" hidden="1" customHeight="1" x14ac:dyDescent="0.15">
      <c r="A25" s="4">
        <v>1999</v>
      </c>
      <c r="B25" s="8">
        <v>3</v>
      </c>
      <c r="D25" s="34">
        <v>101.5</v>
      </c>
      <c r="E25" s="10"/>
      <c r="F25" s="10">
        <v>7.4</v>
      </c>
      <c r="G25" s="10"/>
      <c r="H25" s="34">
        <f t="shared" si="0"/>
        <v>108.9</v>
      </c>
      <c r="I25" s="34">
        <f>181.5-120</f>
        <v>61.5</v>
      </c>
      <c r="K25" s="34">
        <v>0</v>
      </c>
      <c r="L25" s="34">
        <v>0</v>
      </c>
      <c r="M25" s="34">
        <v>0</v>
      </c>
      <c r="N25" s="34"/>
      <c r="O25" s="10">
        <f t="shared" si="1"/>
        <v>170.4</v>
      </c>
      <c r="P25" s="10">
        <f>1412.5-564.8</f>
        <v>847.7</v>
      </c>
    </row>
    <row r="26" spans="1:16" ht="11.25" hidden="1" customHeight="1" x14ac:dyDescent="0.15">
      <c r="A26" s="4">
        <v>2000</v>
      </c>
      <c r="B26" s="8">
        <v>11</v>
      </c>
      <c r="D26" s="34">
        <v>152</v>
      </c>
      <c r="E26" s="16"/>
      <c r="F26" s="10">
        <v>77.650000000000006</v>
      </c>
      <c r="G26" s="10"/>
      <c r="H26" s="34">
        <f t="shared" si="0"/>
        <v>229.65</v>
      </c>
      <c r="I26" s="34">
        <v>45</v>
      </c>
      <c r="K26" s="34">
        <v>0</v>
      </c>
      <c r="L26" s="34">
        <v>101</v>
      </c>
      <c r="M26" s="34">
        <v>0</v>
      </c>
      <c r="N26" s="34"/>
      <c r="O26" s="10">
        <f t="shared" si="1"/>
        <v>375.65</v>
      </c>
      <c r="P26" s="10">
        <v>1629.84</v>
      </c>
    </row>
    <row r="27" spans="1:16" ht="11.25" customHeight="1" x14ac:dyDescent="0.15">
      <c r="A27" s="4">
        <v>2001</v>
      </c>
      <c r="B27" s="8">
        <v>6</v>
      </c>
      <c r="D27" s="34">
        <v>37.5</v>
      </c>
      <c r="E27" s="10"/>
      <c r="F27" s="10">
        <v>30.36</v>
      </c>
      <c r="G27" s="10"/>
      <c r="H27" s="34">
        <f t="shared" si="0"/>
        <v>67.86</v>
      </c>
      <c r="I27" s="34">
        <v>0</v>
      </c>
      <c r="K27" s="34">
        <v>0</v>
      </c>
      <c r="L27" s="34">
        <v>0</v>
      </c>
      <c r="M27" s="34">
        <v>0</v>
      </c>
      <c r="N27" s="4">
        <v>2001</v>
      </c>
      <c r="O27" s="10">
        <f t="shared" si="1"/>
        <v>67.86</v>
      </c>
      <c r="P27" s="10">
        <v>648</v>
      </c>
    </row>
    <row r="28" spans="1:16" ht="11.25" customHeight="1" x14ac:dyDescent="0.15">
      <c r="A28" s="4">
        <v>2002</v>
      </c>
      <c r="B28" s="8">
        <v>7</v>
      </c>
      <c r="D28" s="34">
        <v>110</v>
      </c>
      <c r="E28" s="10"/>
      <c r="F28" s="10">
        <v>35.526000000000003</v>
      </c>
      <c r="G28" s="10"/>
      <c r="H28" s="34">
        <f t="shared" si="0"/>
        <v>145.52600000000001</v>
      </c>
      <c r="I28" s="34">
        <v>0</v>
      </c>
      <c r="K28" s="34">
        <v>0</v>
      </c>
      <c r="L28" s="34">
        <v>60</v>
      </c>
      <c r="M28" s="34">
        <v>0</v>
      </c>
      <c r="N28" s="4">
        <v>2002</v>
      </c>
      <c r="O28" s="10">
        <f t="shared" si="1"/>
        <v>205.52600000000001</v>
      </c>
      <c r="P28" s="10">
        <v>1176.5999999999999</v>
      </c>
    </row>
    <row r="29" spans="1:16" ht="11.25" customHeight="1" x14ac:dyDescent="0.15">
      <c r="A29" s="4">
        <v>2003</v>
      </c>
      <c r="B29" s="8">
        <v>7</v>
      </c>
      <c r="D29" s="34">
        <f>187-20</f>
        <v>167</v>
      </c>
      <c r="E29" s="10"/>
      <c r="F29" s="10">
        <f>35+0.65</f>
        <v>35.65</v>
      </c>
      <c r="G29" s="10"/>
      <c r="H29" s="34">
        <f t="shared" si="0"/>
        <v>202.65</v>
      </c>
      <c r="I29" s="34">
        <v>100</v>
      </c>
      <c r="K29" s="34">
        <f>65+105</f>
        <v>170</v>
      </c>
      <c r="L29" s="34">
        <v>70</v>
      </c>
      <c r="M29" s="34">
        <v>0</v>
      </c>
      <c r="N29" s="4">
        <v>2003</v>
      </c>
      <c r="O29" s="10">
        <f t="shared" si="1"/>
        <v>542.65</v>
      </c>
      <c r="P29" s="10">
        <f>2320-20</f>
        <v>2300</v>
      </c>
    </row>
    <row r="30" spans="1:16" ht="11.25" customHeight="1" x14ac:dyDescent="0.15">
      <c r="A30" s="4">
        <v>2004</v>
      </c>
      <c r="B30" s="8">
        <f>16-1</f>
        <v>15</v>
      </c>
      <c r="C30" s="36" t="s">
        <v>30</v>
      </c>
      <c r="D30" s="34">
        <f>313.9+33-54.4</f>
        <v>292.5</v>
      </c>
      <c r="E30" s="10"/>
      <c r="F30" s="10">
        <f>185-20.6</f>
        <v>164.4</v>
      </c>
      <c r="G30" s="10"/>
      <c r="H30" s="34">
        <f t="shared" si="0"/>
        <v>456.9</v>
      </c>
      <c r="I30" s="34">
        <v>0</v>
      </c>
      <c r="K30" s="34">
        <v>0</v>
      </c>
      <c r="L30" s="34">
        <v>10</v>
      </c>
      <c r="M30" s="34">
        <v>200</v>
      </c>
      <c r="N30" s="4">
        <v>2004</v>
      </c>
      <c r="O30" s="10">
        <f t="shared" si="1"/>
        <v>666.9</v>
      </c>
      <c r="P30" s="10">
        <f>2701.7+250-724</f>
        <v>2227.6999999999998</v>
      </c>
    </row>
    <row r="31" spans="1:16" ht="11.25" customHeight="1" x14ac:dyDescent="0.15">
      <c r="A31" s="4">
        <v>2005</v>
      </c>
      <c r="B31" s="8">
        <v>17</v>
      </c>
      <c r="C31" s="36" t="s">
        <v>33</v>
      </c>
      <c r="D31" s="34">
        <f>536+0.017</f>
        <v>536.01700000000005</v>
      </c>
      <c r="E31" s="10"/>
      <c r="F31" s="10">
        <v>217.1</v>
      </c>
      <c r="G31" s="1"/>
      <c r="H31" s="34">
        <f t="shared" si="0"/>
        <v>753.11700000000008</v>
      </c>
      <c r="I31" s="34">
        <v>0</v>
      </c>
      <c r="K31" s="34">
        <v>18.399999999999999</v>
      </c>
      <c r="L31" s="34">
        <v>50</v>
      </c>
      <c r="M31" s="34">
        <v>0</v>
      </c>
      <c r="N31" s="4">
        <v>2005</v>
      </c>
      <c r="O31" s="10">
        <f t="shared" si="1"/>
        <v>821.51700000000005</v>
      </c>
      <c r="P31" s="10">
        <v>8941.6200000000008</v>
      </c>
    </row>
    <row r="32" spans="1:16" ht="11.25" customHeight="1" x14ac:dyDescent="0.15">
      <c r="A32" s="4"/>
      <c r="D32" s="10"/>
      <c r="E32" s="10"/>
      <c r="F32" s="10"/>
      <c r="G32" s="10"/>
      <c r="O32" s="10"/>
    </row>
    <row r="33" spans="1:16" ht="11.25" customHeight="1" x14ac:dyDescent="0.15">
      <c r="A33" s="32" t="s">
        <v>17</v>
      </c>
      <c r="B33" s="37">
        <f>SUM(B9:B31)</f>
        <v>191</v>
      </c>
      <c r="C33" s="37"/>
      <c r="D33" s="33">
        <f>SUM(D9:D31)</f>
        <v>2392.547</v>
      </c>
      <c r="E33" s="33"/>
      <c r="F33" s="33">
        <f>SUM(F9:F31)</f>
        <v>1111.5289999999998</v>
      </c>
      <c r="G33" s="33"/>
      <c r="H33" s="33">
        <f>SUM(H9:H31)</f>
        <v>3504.0760000000005</v>
      </c>
      <c r="I33" s="33">
        <f>SUM(I9:I31)</f>
        <v>635.80700000000002</v>
      </c>
      <c r="J33" s="33"/>
      <c r="K33" s="33">
        <f>SUM(K9:K31)</f>
        <v>303.39999999999998</v>
      </c>
      <c r="L33" s="33">
        <f>SUM(L9:L31)</f>
        <v>291</v>
      </c>
      <c r="M33" s="33">
        <f>SUM(M9:M31)</f>
        <v>200</v>
      </c>
      <c r="N33" s="33"/>
      <c r="O33" s="33">
        <f>SUM(O9:O31)</f>
        <v>4934.2830000000004</v>
      </c>
      <c r="P33" s="33">
        <f>SUM(P9:P32)</f>
        <v>31575.259000000005</v>
      </c>
    </row>
    <row r="34" spans="1:16" ht="11.25" hidden="1" customHeight="1" x14ac:dyDescent="0.15">
      <c r="A34" s="5" t="s">
        <v>10</v>
      </c>
      <c r="B34" s="38"/>
      <c r="C34" s="3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6" ht="11.25" hidden="1" customHeight="1" x14ac:dyDescent="0.15">
      <c r="A35" s="1" t="s">
        <v>7</v>
      </c>
    </row>
    <row r="36" spans="1:16" ht="11.25" hidden="1" customHeight="1" x14ac:dyDescent="0.15">
      <c r="A36" s="1" t="s">
        <v>8</v>
      </c>
    </row>
    <row r="37" spans="1:16" ht="11.25" hidden="1" customHeight="1" x14ac:dyDescent="0.15">
      <c r="A37" s="1" t="s">
        <v>31</v>
      </c>
    </row>
    <row r="38" spans="1:16" ht="11.25" hidden="1" customHeight="1" x14ac:dyDescent="0.15">
      <c r="A38" s="1" t="s">
        <v>34</v>
      </c>
    </row>
    <row r="39" spans="1:16" ht="11.25" hidden="1" customHeight="1" x14ac:dyDescent="0.15"/>
    <row r="40" spans="1:16" ht="11.25" hidden="1" customHeight="1" x14ac:dyDescent="0.15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baseColWidth="10" defaultColWidth="9.1640625" defaultRowHeight="11.25" customHeight="1" x14ac:dyDescent="0.15"/>
  <cols>
    <col min="1" max="1" width="7.5" style="45" customWidth="1"/>
    <col min="2" max="2" width="8.33203125" style="71" customWidth="1"/>
    <col min="3" max="3" width="1.33203125" style="71" bestFit="1" customWidth="1"/>
    <col min="4" max="4" width="8.1640625" style="44" bestFit="1" customWidth="1"/>
    <col min="5" max="5" width="2.33203125" style="44" customWidth="1"/>
    <col min="6" max="6" width="9.1640625" style="44"/>
    <col min="7" max="7" width="2.5" style="44" customWidth="1"/>
    <col min="8" max="8" width="7.83203125" style="42" customWidth="1"/>
    <col min="9" max="9" width="11.1640625" style="42" customWidth="1"/>
    <col min="10" max="10" width="7.6640625" style="42" customWidth="1"/>
    <col min="11" max="11" width="9.1640625" style="42"/>
    <col min="12" max="12" width="2.1640625" style="42" customWidth="1"/>
    <col min="13" max="13" width="9.1640625" style="42"/>
    <col min="14" max="15" width="8.1640625" style="43" customWidth="1"/>
    <col min="16" max="16" width="6.83203125" style="43" customWidth="1"/>
    <col min="17" max="17" width="9.5" style="44" customWidth="1"/>
    <col min="18" max="16384" width="9.1640625" style="45"/>
  </cols>
  <sheetData>
    <row r="1" spans="1:18" ht="9" customHeight="1" x14ac:dyDescent="0.15">
      <c r="A1" s="39" t="s">
        <v>56</v>
      </c>
      <c r="B1" s="40"/>
      <c r="C1" s="40"/>
      <c r="D1" s="41"/>
      <c r="E1" s="41"/>
      <c r="F1" s="41"/>
      <c r="G1" s="41"/>
    </row>
    <row r="2" spans="1:18" ht="14.25" customHeight="1" x14ac:dyDescent="0.15">
      <c r="A2" s="39" t="s">
        <v>48</v>
      </c>
      <c r="B2" s="40"/>
      <c r="C2" s="40"/>
      <c r="D2" s="41"/>
      <c r="E2" s="41"/>
      <c r="F2" s="41"/>
      <c r="G2" s="41"/>
    </row>
    <row r="3" spans="1:18" ht="11.25" customHeight="1" x14ac:dyDescent="0.15">
      <c r="A3" s="46" t="s">
        <v>0</v>
      </c>
      <c r="B3" s="47"/>
      <c r="C3" s="47"/>
    </row>
    <row r="5" spans="1:18" ht="11.25" customHeight="1" x14ac:dyDescent="0.15">
      <c r="A5" s="48"/>
      <c r="B5" s="49"/>
      <c r="C5" s="49"/>
      <c r="D5" s="50"/>
      <c r="E5" s="50"/>
      <c r="F5" s="50"/>
      <c r="G5" s="50"/>
      <c r="H5" s="50" t="s">
        <v>1</v>
      </c>
      <c r="I5" s="130"/>
      <c r="J5" s="130"/>
      <c r="K5" s="50" t="s">
        <v>21</v>
      </c>
      <c r="L5" s="50"/>
      <c r="M5" s="50" t="s">
        <v>14</v>
      </c>
      <c r="N5" s="51"/>
      <c r="O5" s="51" t="s">
        <v>46</v>
      </c>
      <c r="P5" s="51"/>
      <c r="Q5" s="52" t="s">
        <v>1</v>
      </c>
      <c r="R5" s="53" t="s">
        <v>11</v>
      </c>
    </row>
    <row r="6" spans="1:18" ht="11.25" customHeight="1" x14ac:dyDescent="0.15">
      <c r="A6" s="54"/>
      <c r="B6" s="55" t="s">
        <v>2</v>
      </c>
      <c r="C6" s="55"/>
      <c r="D6" s="56"/>
      <c r="E6" s="56"/>
      <c r="F6" s="57" t="s">
        <v>3</v>
      </c>
      <c r="G6" s="57"/>
      <c r="H6" s="58" t="s">
        <v>9</v>
      </c>
      <c r="I6" s="143"/>
      <c r="J6" s="143"/>
      <c r="K6" s="56" t="s">
        <v>22</v>
      </c>
      <c r="L6" s="56"/>
      <c r="M6" s="56" t="s">
        <v>15</v>
      </c>
      <c r="N6" s="59"/>
      <c r="O6" s="88" t="s">
        <v>47</v>
      </c>
      <c r="P6" s="59"/>
      <c r="Q6" s="60" t="s">
        <v>9</v>
      </c>
      <c r="R6" s="61" t="s">
        <v>12</v>
      </c>
    </row>
    <row r="7" spans="1:18" ht="12.75" customHeight="1" x14ac:dyDescent="0.15">
      <c r="A7" s="62" t="s">
        <v>4</v>
      </c>
      <c r="B7" s="63" t="s">
        <v>36</v>
      </c>
      <c r="C7" s="63"/>
      <c r="D7" s="64" t="s">
        <v>51</v>
      </c>
      <c r="E7" s="64"/>
      <c r="F7" s="65" t="s">
        <v>38</v>
      </c>
      <c r="G7" s="65"/>
      <c r="H7" s="64" t="s">
        <v>6</v>
      </c>
      <c r="I7" s="66" t="s">
        <v>45</v>
      </c>
      <c r="J7" s="66"/>
      <c r="K7" s="64" t="s">
        <v>16</v>
      </c>
      <c r="L7" s="64"/>
      <c r="M7" s="64" t="s">
        <v>16</v>
      </c>
      <c r="N7" s="67" t="s">
        <v>44</v>
      </c>
      <c r="O7" s="67" t="s">
        <v>49</v>
      </c>
      <c r="P7" s="68" t="s">
        <v>43</v>
      </c>
      <c r="Q7" s="69" t="s">
        <v>40</v>
      </c>
      <c r="R7" s="70" t="s">
        <v>13</v>
      </c>
    </row>
    <row r="8" spans="1:18" ht="11.25" customHeight="1" x14ac:dyDescent="0.15">
      <c r="D8" s="42"/>
      <c r="E8" s="42"/>
      <c r="F8" s="42"/>
      <c r="G8" s="42"/>
    </row>
    <row r="9" spans="1:18" ht="11.25" customHeight="1" x14ac:dyDescent="0.15">
      <c r="A9" s="72">
        <v>1983</v>
      </c>
      <c r="B9" s="71">
        <v>2</v>
      </c>
      <c r="D9" s="43">
        <v>0</v>
      </c>
      <c r="E9" s="42"/>
      <c r="F9" s="42">
        <v>2.96</v>
      </c>
      <c r="G9" s="42"/>
      <c r="H9" s="43">
        <f>D9+F9</f>
        <v>2.96</v>
      </c>
      <c r="I9" s="43">
        <v>0</v>
      </c>
      <c r="K9" s="43">
        <v>0</v>
      </c>
      <c r="L9" s="43"/>
      <c r="M9" s="43">
        <v>0</v>
      </c>
      <c r="N9" s="43">
        <v>0</v>
      </c>
      <c r="Q9" s="42">
        <f t="shared" ref="Q9:Q35" si="0">H9+I9+M9+K9+N9</f>
        <v>2.96</v>
      </c>
      <c r="R9" s="42">
        <v>36</v>
      </c>
    </row>
    <row r="10" spans="1:18" ht="11.25" customHeight="1" x14ac:dyDescent="0.15">
      <c r="A10" s="72">
        <v>1984</v>
      </c>
      <c r="B10" s="71">
        <v>1</v>
      </c>
      <c r="D10" s="43">
        <v>0</v>
      </c>
      <c r="E10" s="42"/>
      <c r="F10" s="42">
        <v>0.42</v>
      </c>
      <c r="G10" s="42"/>
      <c r="H10" s="43">
        <f>D10+F10</f>
        <v>0.42</v>
      </c>
      <c r="I10" s="43">
        <v>0</v>
      </c>
      <c r="K10" s="43">
        <v>0</v>
      </c>
      <c r="L10" s="43"/>
      <c r="M10" s="43">
        <v>0</v>
      </c>
      <c r="N10" s="43">
        <v>0</v>
      </c>
      <c r="Q10" s="42">
        <f t="shared" si="0"/>
        <v>0.42</v>
      </c>
      <c r="R10" s="42">
        <v>2.8</v>
      </c>
    </row>
    <row r="11" spans="1:18" ht="11.25" customHeight="1" x14ac:dyDescent="0.15">
      <c r="A11" s="72">
        <v>1985</v>
      </c>
      <c r="B11" s="71">
        <v>3</v>
      </c>
      <c r="D11" s="43">
        <v>0</v>
      </c>
      <c r="E11" s="42"/>
      <c r="F11" s="42">
        <v>3.4</v>
      </c>
      <c r="G11" s="42"/>
      <c r="H11" s="43">
        <f>D11+F11</f>
        <v>3.4</v>
      </c>
      <c r="I11" s="43">
        <v>0</v>
      </c>
      <c r="K11" s="43">
        <v>0</v>
      </c>
      <c r="L11" s="43"/>
      <c r="M11" s="43">
        <v>0</v>
      </c>
      <c r="N11" s="43">
        <v>0</v>
      </c>
      <c r="Q11" s="42">
        <f t="shared" si="0"/>
        <v>3.4</v>
      </c>
      <c r="R11" s="42">
        <v>26.5</v>
      </c>
    </row>
    <row r="12" spans="1:18" ht="11.25" customHeight="1" x14ac:dyDescent="0.15">
      <c r="A12" s="72">
        <v>1986</v>
      </c>
      <c r="B12" s="71">
        <v>4</v>
      </c>
      <c r="D12" s="43">
        <v>6.46</v>
      </c>
      <c r="E12" s="42"/>
      <c r="F12" s="42">
        <v>6.0129999999999999</v>
      </c>
      <c r="G12" s="42"/>
      <c r="H12" s="43">
        <f>D12+F12</f>
        <v>12.472999999999999</v>
      </c>
      <c r="I12" s="43">
        <v>0</v>
      </c>
      <c r="K12" s="43">
        <v>0</v>
      </c>
      <c r="L12" s="43"/>
      <c r="M12" s="43">
        <v>0</v>
      </c>
      <c r="N12" s="43">
        <v>0</v>
      </c>
      <c r="Q12" s="42">
        <f t="shared" si="0"/>
        <v>12.472999999999999</v>
      </c>
      <c r="R12" s="42">
        <v>20.32</v>
      </c>
    </row>
    <row r="13" spans="1:18" ht="11.25" customHeight="1" x14ac:dyDescent="0.15">
      <c r="A13" s="72">
        <v>1987</v>
      </c>
      <c r="B13" s="71">
        <v>7</v>
      </c>
      <c r="D13" s="43">
        <f>18+2.5</f>
        <v>20.5</v>
      </c>
      <c r="E13" s="42"/>
      <c r="F13" s="42">
        <f>7+15.605+5</f>
        <v>27.605</v>
      </c>
      <c r="G13" s="42"/>
      <c r="H13" s="43">
        <f>D13+F13</f>
        <v>48.105000000000004</v>
      </c>
      <c r="I13" s="73">
        <v>5</v>
      </c>
      <c r="J13" s="74"/>
      <c r="K13" s="43">
        <v>0</v>
      </c>
      <c r="L13" s="43"/>
      <c r="M13" s="43">
        <v>0</v>
      </c>
      <c r="N13" s="43">
        <v>0</v>
      </c>
      <c r="Q13" s="42">
        <f t="shared" si="0"/>
        <v>53.105000000000004</v>
      </c>
      <c r="R13" s="42">
        <v>519.24</v>
      </c>
    </row>
    <row r="14" spans="1:18" ht="11.25" customHeight="1" x14ac:dyDescent="0.15">
      <c r="A14" s="72">
        <v>1988</v>
      </c>
      <c r="B14" s="71">
        <v>12</v>
      </c>
      <c r="D14" s="43">
        <v>58</v>
      </c>
      <c r="E14" s="42"/>
      <c r="F14" s="42">
        <f>8+7.67+20</f>
        <v>35.67</v>
      </c>
      <c r="G14" s="42"/>
      <c r="H14" s="43">
        <f t="shared" ref="H14:H35" si="1">D14+F14</f>
        <v>93.67</v>
      </c>
      <c r="I14" s="43">
        <v>0</v>
      </c>
      <c r="K14" s="43">
        <v>0</v>
      </c>
      <c r="L14" s="43"/>
      <c r="M14" s="43">
        <v>0</v>
      </c>
      <c r="N14" s="43">
        <v>0</v>
      </c>
      <c r="Q14" s="42">
        <f t="shared" si="0"/>
        <v>93.67</v>
      </c>
      <c r="R14" s="42">
        <v>502.32</v>
      </c>
    </row>
    <row r="15" spans="1:18" ht="11.25" customHeight="1" x14ac:dyDescent="0.15">
      <c r="A15" s="72">
        <v>1989</v>
      </c>
      <c r="B15" s="71">
        <v>16</v>
      </c>
      <c r="D15" s="43">
        <f>89.7+6</f>
        <v>95.7</v>
      </c>
      <c r="E15" s="42"/>
      <c r="F15" s="42">
        <f>2+54.39+11.2</f>
        <v>67.59</v>
      </c>
      <c r="G15" s="42"/>
      <c r="H15" s="43">
        <f t="shared" si="1"/>
        <v>163.29000000000002</v>
      </c>
      <c r="I15" s="43">
        <v>51.1</v>
      </c>
      <c r="K15" s="43">
        <v>0</v>
      </c>
      <c r="L15" s="43"/>
      <c r="M15" s="43">
        <v>0</v>
      </c>
      <c r="N15" s="43">
        <v>0</v>
      </c>
      <c r="Q15" s="42">
        <f t="shared" si="0"/>
        <v>214.39000000000001</v>
      </c>
      <c r="R15" s="42">
        <v>1038.6600000000001</v>
      </c>
    </row>
    <row r="16" spans="1:18" ht="11.25" customHeight="1" x14ac:dyDescent="0.15">
      <c r="A16" s="72">
        <v>1990</v>
      </c>
      <c r="B16" s="71">
        <v>17</v>
      </c>
      <c r="D16" s="43">
        <f>72.85+6</f>
        <v>78.849999999999994</v>
      </c>
      <c r="E16" s="42"/>
      <c r="F16" s="42">
        <f>8+23.623+4.32</f>
        <v>35.942999999999998</v>
      </c>
      <c r="G16" s="42"/>
      <c r="H16" s="43">
        <f t="shared" si="1"/>
        <v>114.79299999999999</v>
      </c>
      <c r="I16" s="43">
        <v>24</v>
      </c>
      <c r="K16" s="43">
        <v>0</v>
      </c>
      <c r="L16" s="43"/>
      <c r="M16" s="43">
        <v>0</v>
      </c>
      <c r="N16" s="43">
        <v>0</v>
      </c>
      <c r="Q16" s="42">
        <f t="shared" si="0"/>
        <v>138.79300000000001</v>
      </c>
      <c r="R16" s="42">
        <v>2026.13</v>
      </c>
    </row>
    <row r="17" spans="1:19" ht="11.25" customHeight="1" x14ac:dyDescent="0.15">
      <c r="A17" s="72">
        <v>1991</v>
      </c>
      <c r="B17" s="71">
        <v>10</v>
      </c>
      <c r="D17" s="43">
        <f>156.8</f>
        <v>156.80000000000001</v>
      </c>
      <c r="E17" s="42"/>
      <c r="F17" s="42">
        <f>20.518</f>
        <v>20.518000000000001</v>
      </c>
      <c r="G17" s="42"/>
      <c r="H17" s="43">
        <f t="shared" si="1"/>
        <v>177.31800000000001</v>
      </c>
      <c r="I17" s="43">
        <v>0</v>
      </c>
      <c r="K17" s="43">
        <v>0</v>
      </c>
      <c r="L17" s="43"/>
      <c r="M17" s="43">
        <v>0</v>
      </c>
      <c r="N17" s="43">
        <v>0</v>
      </c>
      <c r="Q17" s="42">
        <f t="shared" si="0"/>
        <v>177.31800000000001</v>
      </c>
      <c r="R17" s="42">
        <v>1325.18</v>
      </c>
    </row>
    <row r="18" spans="1:19" ht="11.25" customHeight="1" x14ac:dyDescent="0.15">
      <c r="A18" s="72">
        <v>1992</v>
      </c>
      <c r="B18" s="71">
        <v>4</v>
      </c>
      <c r="D18" s="43">
        <v>50</v>
      </c>
      <c r="E18" s="42"/>
      <c r="F18" s="42">
        <v>5.42</v>
      </c>
      <c r="G18" s="42"/>
      <c r="H18" s="43">
        <f t="shared" si="1"/>
        <v>55.42</v>
      </c>
      <c r="I18" s="43">
        <v>81.5</v>
      </c>
      <c r="K18" s="43">
        <v>0</v>
      </c>
      <c r="L18" s="43"/>
      <c r="M18" s="43">
        <v>0</v>
      </c>
      <c r="N18" s="43">
        <v>0</v>
      </c>
      <c r="Q18" s="42">
        <f t="shared" si="0"/>
        <v>136.92000000000002</v>
      </c>
      <c r="R18" s="42">
        <v>402.29</v>
      </c>
    </row>
    <row r="19" spans="1:19" ht="11.25" customHeight="1" x14ac:dyDescent="0.15">
      <c r="A19" s="72">
        <v>1993</v>
      </c>
      <c r="B19" s="71">
        <v>8</v>
      </c>
      <c r="D19" s="43">
        <v>182.1</v>
      </c>
      <c r="E19" s="42"/>
      <c r="F19" s="42">
        <v>20.7</v>
      </c>
      <c r="G19" s="42"/>
      <c r="H19" s="43">
        <f t="shared" si="1"/>
        <v>202.79999999999998</v>
      </c>
      <c r="I19" s="43">
        <v>19.3</v>
      </c>
      <c r="K19" s="43">
        <v>0</v>
      </c>
      <c r="L19" s="43"/>
      <c r="M19" s="43">
        <v>0</v>
      </c>
      <c r="N19" s="43">
        <v>0</v>
      </c>
      <c r="Q19" s="42">
        <f t="shared" si="0"/>
        <v>222.1</v>
      </c>
      <c r="R19" s="42">
        <v>1505.7</v>
      </c>
    </row>
    <row r="20" spans="1:19" ht="11.25" customHeight="1" x14ac:dyDescent="0.15">
      <c r="A20" s="72">
        <v>1994</v>
      </c>
      <c r="B20" s="71">
        <v>10</v>
      </c>
      <c r="D20" s="43">
        <v>0</v>
      </c>
      <c r="E20" s="42"/>
      <c r="F20" s="42">
        <v>48.7</v>
      </c>
      <c r="G20" s="42"/>
      <c r="H20" s="43">
        <f t="shared" si="1"/>
        <v>48.7</v>
      </c>
      <c r="I20" s="43">
        <v>0</v>
      </c>
      <c r="K20" s="43">
        <v>0</v>
      </c>
      <c r="L20" s="43"/>
      <c r="M20" s="43">
        <v>0</v>
      </c>
      <c r="N20" s="43">
        <v>0</v>
      </c>
      <c r="Q20" s="42">
        <f t="shared" si="0"/>
        <v>48.7</v>
      </c>
      <c r="R20" s="42">
        <v>919.2</v>
      </c>
    </row>
    <row r="21" spans="1:19" ht="11.25" customHeight="1" x14ac:dyDescent="0.15">
      <c r="A21" s="72">
        <v>1995</v>
      </c>
      <c r="B21" s="71">
        <v>7</v>
      </c>
      <c r="D21" s="43">
        <f>86.5-18.5</f>
        <v>68</v>
      </c>
      <c r="E21" s="42"/>
      <c r="F21" s="42">
        <v>99.414000000000001</v>
      </c>
      <c r="G21" s="42"/>
      <c r="H21" s="43">
        <f t="shared" si="1"/>
        <v>167.41399999999999</v>
      </c>
      <c r="I21" s="43">
        <v>5.83</v>
      </c>
      <c r="K21" s="43">
        <v>0</v>
      </c>
      <c r="L21" s="43"/>
      <c r="M21" s="43">
        <v>0</v>
      </c>
      <c r="N21" s="43">
        <v>0</v>
      </c>
      <c r="Q21" s="42">
        <f t="shared" si="0"/>
        <v>173.244</v>
      </c>
      <c r="R21" s="42">
        <v>1050.3219999999999</v>
      </c>
    </row>
    <row r="22" spans="1:19" ht="11.25" customHeight="1" x14ac:dyDescent="0.15">
      <c r="A22" s="72">
        <v>1996</v>
      </c>
      <c r="B22" s="71">
        <v>7</v>
      </c>
      <c r="D22" s="43">
        <v>98.5</v>
      </c>
      <c r="E22" s="42"/>
      <c r="F22" s="42">
        <v>80.150000000000006</v>
      </c>
      <c r="G22" s="42"/>
      <c r="H22" s="43">
        <f t="shared" si="1"/>
        <v>178.65</v>
      </c>
      <c r="I22" s="43">
        <v>91.5</v>
      </c>
      <c r="K22" s="43">
        <v>0</v>
      </c>
      <c r="L22" s="43"/>
      <c r="M22" s="43">
        <v>0</v>
      </c>
      <c r="N22" s="43">
        <v>0</v>
      </c>
      <c r="Q22" s="42">
        <f t="shared" si="0"/>
        <v>270.14999999999998</v>
      </c>
      <c r="R22" s="42">
        <v>1788.77</v>
      </c>
    </row>
    <row r="23" spans="1:19" ht="11.25" customHeight="1" x14ac:dyDescent="0.15">
      <c r="A23" s="72">
        <v>1997</v>
      </c>
      <c r="B23" s="71">
        <v>6</v>
      </c>
      <c r="D23" s="43">
        <f>45</f>
        <v>45</v>
      </c>
      <c r="E23" s="42"/>
      <c r="F23" s="42">
        <f>59.5-10</f>
        <v>49.5</v>
      </c>
      <c r="G23" s="42"/>
      <c r="H23" s="43">
        <f t="shared" si="1"/>
        <v>94.5</v>
      </c>
      <c r="I23" s="43">
        <v>0</v>
      </c>
      <c r="K23" s="43">
        <v>0</v>
      </c>
      <c r="L23" s="43"/>
      <c r="M23" s="43">
        <v>0</v>
      </c>
      <c r="N23" s="43">
        <v>0</v>
      </c>
      <c r="Q23" s="42">
        <f t="shared" si="0"/>
        <v>94.5</v>
      </c>
      <c r="R23" s="42">
        <v>1239.69</v>
      </c>
    </row>
    <row r="24" spans="1:19" ht="11.25" customHeight="1" x14ac:dyDescent="0.15">
      <c r="A24" s="72">
        <v>1998</v>
      </c>
      <c r="B24" s="71">
        <v>6</v>
      </c>
      <c r="D24" s="43">
        <v>136.12</v>
      </c>
      <c r="E24" s="42"/>
      <c r="F24" s="42">
        <f>62.44-20-3</f>
        <v>39.44</v>
      </c>
      <c r="G24" s="42"/>
      <c r="H24" s="43">
        <f t="shared" si="1"/>
        <v>175.56</v>
      </c>
      <c r="I24" s="43">
        <v>151.077</v>
      </c>
      <c r="K24" s="43">
        <v>0</v>
      </c>
      <c r="L24" s="43"/>
      <c r="M24" s="43">
        <v>0</v>
      </c>
      <c r="N24" s="43">
        <v>0</v>
      </c>
      <c r="Q24" s="42">
        <f t="shared" si="0"/>
        <v>326.637</v>
      </c>
      <c r="R24" s="42">
        <v>1152.7</v>
      </c>
    </row>
    <row r="25" spans="1:19" ht="11.25" customHeight="1" x14ac:dyDescent="0.15">
      <c r="A25" s="72">
        <v>1999</v>
      </c>
      <c r="B25" s="71">
        <v>3</v>
      </c>
      <c r="D25" s="43">
        <v>101.5</v>
      </c>
      <c r="E25" s="42"/>
      <c r="F25" s="42">
        <v>7.4</v>
      </c>
      <c r="G25" s="42"/>
      <c r="H25" s="43">
        <f t="shared" si="1"/>
        <v>108.9</v>
      </c>
      <c r="I25" s="43">
        <f>181.5-120</f>
        <v>61.5</v>
      </c>
      <c r="K25" s="43">
        <v>0</v>
      </c>
      <c r="L25" s="43"/>
      <c r="M25" s="43">
        <v>0</v>
      </c>
      <c r="N25" s="43">
        <v>0</v>
      </c>
      <c r="Q25" s="42">
        <f t="shared" si="0"/>
        <v>170.4</v>
      </c>
      <c r="R25" s="42">
        <v>847.7</v>
      </c>
    </row>
    <row r="26" spans="1:19" ht="11.25" customHeight="1" x14ac:dyDescent="0.15">
      <c r="A26" s="72">
        <v>2000</v>
      </c>
      <c r="B26" s="71">
        <v>9</v>
      </c>
      <c r="D26" s="43">
        <v>152</v>
      </c>
      <c r="E26" s="75"/>
      <c r="F26" s="42">
        <v>77.650000000000006</v>
      </c>
      <c r="G26" s="42"/>
      <c r="H26" s="43">
        <f t="shared" si="1"/>
        <v>229.65</v>
      </c>
      <c r="I26" s="43">
        <v>45</v>
      </c>
      <c r="K26" s="43">
        <v>0</v>
      </c>
      <c r="L26" s="43"/>
      <c r="M26" s="43">
        <v>0</v>
      </c>
      <c r="N26" s="43">
        <v>0</v>
      </c>
      <c r="Q26" s="42">
        <f t="shared" si="0"/>
        <v>274.64999999999998</v>
      </c>
      <c r="R26" s="42">
        <v>1629.84</v>
      </c>
    </row>
    <row r="27" spans="1:19" ht="11.25" customHeight="1" x14ac:dyDescent="0.15">
      <c r="A27" s="72">
        <v>2001</v>
      </c>
      <c r="B27" s="71">
        <v>6</v>
      </c>
      <c r="D27" s="43">
        <v>37.5</v>
      </c>
      <c r="E27" s="42"/>
      <c r="F27" s="42">
        <v>30.36</v>
      </c>
      <c r="G27" s="42"/>
      <c r="H27" s="43">
        <f t="shared" si="1"/>
        <v>67.86</v>
      </c>
      <c r="I27" s="43">
        <v>0</v>
      </c>
      <c r="K27" s="43">
        <v>0</v>
      </c>
      <c r="L27" s="43"/>
      <c r="M27" s="43">
        <v>0</v>
      </c>
      <c r="N27" s="43">
        <v>0</v>
      </c>
      <c r="Q27" s="42">
        <f t="shared" si="0"/>
        <v>67.86</v>
      </c>
      <c r="R27" s="42">
        <v>648</v>
      </c>
    </row>
    <row r="28" spans="1:19" ht="11.25" customHeight="1" x14ac:dyDescent="0.15">
      <c r="A28" s="72">
        <v>2002</v>
      </c>
      <c r="B28" s="71">
        <v>6</v>
      </c>
      <c r="D28" s="43">
        <v>110</v>
      </c>
      <c r="E28" s="42"/>
      <c r="F28" s="42">
        <v>25.53</v>
      </c>
      <c r="G28" s="42"/>
      <c r="H28" s="43">
        <f t="shared" si="1"/>
        <v>135.53</v>
      </c>
      <c r="I28" s="43">
        <v>0</v>
      </c>
      <c r="K28" s="43">
        <v>0</v>
      </c>
      <c r="L28" s="43"/>
      <c r="M28" s="43">
        <v>60</v>
      </c>
      <c r="N28" s="43">
        <v>0</v>
      </c>
      <c r="Q28" s="42">
        <f t="shared" si="0"/>
        <v>195.53</v>
      </c>
      <c r="R28" s="76">
        <v>1136.5999999999999</v>
      </c>
      <c r="S28" s="44"/>
    </row>
    <row r="29" spans="1:19" ht="11.25" customHeight="1" x14ac:dyDescent="0.15">
      <c r="A29" s="72">
        <v>2003</v>
      </c>
      <c r="B29" s="71">
        <v>7</v>
      </c>
      <c r="D29" s="43">
        <f>187-20-45</f>
        <v>122</v>
      </c>
      <c r="E29" s="42"/>
      <c r="F29" s="42">
        <f>35+0.65</f>
        <v>35.65</v>
      </c>
      <c r="G29" s="42"/>
      <c r="H29" s="43">
        <f t="shared" si="1"/>
        <v>157.65</v>
      </c>
      <c r="I29" s="43">
        <v>170</v>
      </c>
      <c r="K29" s="43">
        <f>65</f>
        <v>65</v>
      </c>
      <c r="L29" s="43"/>
      <c r="M29" s="43">
        <v>0</v>
      </c>
      <c r="N29" s="43">
        <v>150</v>
      </c>
      <c r="Q29" s="42">
        <f t="shared" si="0"/>
        <v>542.65</v>
      </c>
      <c r="R29" s="42">
        <v>2300</v>
      </c>
    </row>
    <row r="30" spans="1:19" ht="11.25" customHeight="1" x14ac:dyDescent="0.15">
      <c r="A30" s="72">
        <v>2004</v>
      </c>
      <c r="B30" s="71">
        <f>15-1</f>
        <v>14</v>
      </c>
      <c r="C30" s="77"/>
      <c r="D30" s="43">
        <f>292.5-200</f>
        <v>92.5</v>
      </c>
      <c r="E30" s="42"/>
      <c r="F30" s="42">
        <v>164.37</v>
      </c>
      <c r="G30" s="42"/>
      <c r="H30" s="43">
        <f t="shared" si="1"/>
        <v>256.87</v>
      </c>
      <c r="I30" s="43">
        <v>0</v>
      </c>
      <c r="K30" s="43">
        <v>0</v>
      </c>
      <c r="L30" s="43"/>
      <c r="M30" s="43">
        <v>10</v>
      </c>
      <c r="N30" s="43">
        <f>200-200</f>
        <v>0</v>
      </c>
      <c r="Q30" s="42">
        <f t="shared" si="0"/>
        <v>266.87</v>
      </c>
      <c r="R30" s="42">
        <v>2227.6999999999998</v>
      </c>
    </row>
    <row r="31" spans="1:19" ht="11.25" customHeight="1" x14ac:dyDescent="0.15">
      <c r="A31" s="72">
        <v>2005</v>
      </c>
      <c r="B31" s="71">
        <v>13</v>
      </c>
      <c r="C31" s="77"/>
      <c r="D31" s="43">
        <v>513.02</v>
      </c>
      <c r="E31" s="42"/>
      <c r="F31" s="42">
        <v>175.5</v>
      </c>
      <c r="G31" s="45"/>
      <c r="H31" s="43">
        <f t="shared" si="1"/>
        <v>688.52</v>
      </c>
      <c r="I31" s="43">
        <v>0</v>
      </c>
      <c r="K31" s="43">
        <v>18.399999999999999</v>
      </c>
      <c r="L31" s="43"/>
      <c r="M31" s="43">
        <v>0</v>
      </c>
      <c r="N31" s="43">
        <v>0</v>
      </c>
      <c r="Q31" s="42">
        <f t="shared" si="0"/>
        <v>706.92</v>
      </c>
      <c r="R31" s="42">
        <f>8776.42-100</f>
        <v>8676.42</v>
      </c>
    </row>
    <row r="32" spans="1:19" ht="11.25" customHeight="1" x14ac:dyDescent="0.15">
      <c r="A32" s="72">
        <v>2006</v>
      </c>
      <c r="B32" s="71">
        <v>18</v>
      </c>
      <c r="C32" s="77"/>
      <c r="D32" s="43">
        <v>450</v>
      </c>
      <c r="E32" s="42"/>
      <c r="F32" s="42">
        <f>235.5-5</f>
        <v>230.5</v>
      </c>
      <c r="G32" s="45"/>
      <c r="H32" s="43">
        <f t="shared" si="1"/>
        <v>680.5</v>
      </c>
      <c r="I32" s="43">
        <v>330</v>
      </c>
      <c r="K32" s="43">
        <v>109.8</v>
      </c>
      <c r="L32" s="43"/>
      <c r="M32" s="43">
        <v>15</v>
      </c>
      <c r="N32" s="43">
        <v>0</v>
      </c>
      <c r="Q32" s="42">
        <f t="shared" si="0"/>
        <v>1135.3</v>
      </c>
      <c r="R32" s="42">
        <f>8580.84-50-652.5-200</f>
        <v>7678.34</v>
      </c>
    </row>
    <row r="33" spans="1:19" ht="11.25" customHeight="1" x14ac:dyDescent="0.15">
      <c r="A33" s="72">
        <v>2007</v>
      </c>
      <c r="B33" s="71">
        <v>21</v>
      </c>
      <c r="C33" s="77"/>
      <c r="D33" s="43">
        <v>650.27</v>
      </c>
      <c r="E33" s="42"/>
      <c r="F33" s="42">
        <v>79.75</v>
      </c>
      <c r="G33" s="45"/>
      <c r="H33" s="43">
        <f t="shared" si="1"/>
        <v>730.02</v>
      </c>
      <c r="I33" s="43">
        <v>200</v>
      </c>
      <c r="K33" s="43">
        <v>251</v>
      </c>
      <c r="L33" s="43"/>
      <c r="M33" s="43">
        <v>0</v>
      </c>
      <c r="N33" s="43">
        <v>0</v>
      </c>
      <c r="Q33" s="42">
        <f t="shared" si="0"/>
        <v>1181.02</v>
      </c>
      <c r="R33" s="42">
        <v>3494.54</v>
      </c>
    </row>
    <row r="34" spans="1:19" ht="11.25" customHeight="1" x14ac:dyDescent="0.15">
      <c r="A34" s="72">
        <v>2008</v>
      </c>
      <c r="B34" s="71">
        <v>12</v>
      </c>
      <c r="C34" s="77"/>
      <c r="D34" s="43">
        <f>1521.582-225</f>
        <v>1296.5820000000001</v>
      </c>
      <c r="E34" s="42"/>
      <c r="F34" s="42">
        <v>103.08</v>
      </c>
      <c r="G34" s="45"/>
      <c r="H34" s="43">
        <f t="shared" si="1"/>
        <v>1399.662</v>
      </c>
      <c r="I34" s="43">
        <v>425</v>
      </c>
      <c r="K34" s="43">
        <v>0</v>
      </c>
      <c r="L34" s="43"/>
      <c r="M34" s="43">
        <v>0</v>
      </c>
      <c r="Q34" s="42">
        <f t="shared" si="0"/>
        <v>1824.662</v>
      </c>
      <c r="R34" s="42">
        <f>9992.493-100-225</f>
        <v>9667.4930000000004</v>
      </c>
    </row>
    <row r="35" spans="1:19" ht="11.25" customHeight="1" x14ac:dyDescent="0.15">
      <c r="A35" s="72">
        <v>2009</v>
      </c>
      <c r="B35" s="71">
        <v>11</v>
      </c>
      <c r="C35" s="77"/>
      <c r="D35" s="43">
        <v>437.87</v>
      </c>
      <c r="E35" s="42"/>
      <c r="F35" s="42">
        <v>220</v>
      </c>
      <c r="G35" s="45"/>
      <c r="H35" s="43">
        <f t="shared" si="1"/>
        <v>657.87</v>
      </c>
      <c r="I35" s="43">
        <v>276.2</v>
      </c>
      <c r="K35" s="43">
        <v>0</v>
      </c>
      <c r="L35" s="43"/>
      <c r="M35" s="43"/>
      <c r="N35" s="43">
        <v>850</v>
      </c>
      <c r="Q35" s="42">
        <f t="shared" si="0"/>
        <v>1784.07</v>
      </c>
      <c r="R35" s="42">
        <f>4505.92-172.4</f>
        <v>4333.5200000000004</v>
      </c>
    </row>
    <row r="36" spans="1:19" ht="11.25" customHeight="1" x14ac:dyDescent="0.15">
      <c r="A36" s="72">
        <v>2010</v>
      </c>
      <c r="B36" s="71">
        <v>19</v>
      </c>
      <c r="C36" s="77"/>
      <c r="D36" s="43">
        <v>1034.7</v>
      </c>
      <c r="E36" s="42"/>
      <c r="F36" s="42">
        <v>235</v>
      </c>
      <c r="G36" s="45"/>
      <c r="H36" s="43">
        <f>F36+D36</f>
        <v>1269.7</v>
      </c>
      <c r="I36" s="43">
        <v>320</v>
      </c>
      <c r="K36" s="43">
        <v>500</v>
      </c>
      <c r="L36" s="43"/>
      <c r="M36" s="43">
        <v>0</v>
      </c>
      <c r="N36" s="43">
        <v>0</v>
      </c>
      <c r="P36" s="43">
        <v>2</v>
      </c>
      <c r="Q36" s="42">
        <f>SUM(H36:P36)</f>
        <v>2091.6999999999998</v>
      </c>
      <c r="R36" s="42">
        <v>5942.42</v>
      </c>
      <c r="S36" s="45" t="s">
        <v>58</v>
      </c>
    </row>
    <row r="37" spans="1:19" ht="11.25" customHeight="1" x14ac:dyDescent="0.15">
      <c r="A37" s="72">
        <v>2011</v>
      </c>
      <c r="B37" s="71">
        <v>17</v>
      </c>
      <c r="C37" s="77"/>
      <c r="D37" s="43">
        <v>1600</v>
      </c>
      <c r="E37" s="42"/>
      <c r="F37" s="42">
        <v>89</v>
      </c>
      <c r="G37" s="45"/>
      <c r="H37" s="43">
        <f>F37+D37</f>
        <v>1689</v>
      </c>
      <c r="I37" s="43">
        <v>200</v>
      </c>
      <c r="K37" s="43">
        <v>216.61</v>
      </c>
      <c r="L37" s="43"/>
      <c r="M37" s="43">
        <v>200</v>
      </c>
      <c r="N37" s="43">
        <v>0</v>
      </c>
      <c r="P37" s="43">
        <v>0</v>
      </c>
      <c r="Q37" s="42">
        <f>SUM(H37:P37)</f>
        <v>2305.61</v>
      </c>
      <c r="R37" s="42">
        <v>10838.76</v>
      </c>
      <c r="S37" s="45" t="s">
        <v>59</v>
      </c>
    </row>
    <row r="38" spans="1:19" ht="11.25" customHeight="1" x14ac:dyDescent="0.15">
      <c r="A38" s="72">
        <v>2012</v>
      </c>
      <c r="B38" s="71">
        <v>22</v>
      </c>
      <c r="C38" s="77"/>
      <c r="D38" s="43">
        <v>1106.8399999999999</v>
      </c>
      <c r="E38" s="91" t="s">
        <v>52</v>
      </c>
      <c r="F38" s="42">
        <v>131</v>
      </c>
      <c r="G38" s="45"/>
      <c r="H38" s="43">
        <f>F38+D38</f>
        <v>1237.8399999999999</v>
      </c>
      <c r="I38" s="43">
        <v>200</v>
      </c>
      <c r="J38" s="45"/>
      <c r="K38" s="43">
        <v>128</v>
      </c>
      <c r="L38" s="43"/>
      <c r="M38" s="43">
        <v>275</v>
      </c>
      <c r="N38" s="43">
        <v>0</v>
      </c>
      <c r="O38" s="43">
        <v>200</v>
      </c>
      <c r="P38" s="43">
        <v>0</v>
      </c>
      <c r="Q38" s="42">
        <f>SUM(H38:P38)</f>
        <v>2040.84</v>
      </c>
      <c r="R38" s="42">
        <v>10514.9</v>
      </c>
      <c r="S38" s="45" t="s">
        <v>57</v>
      </c>
    </row>
    <row r="39" spans="1:19" ht="11.25" customHeight="1" x14ac:dyDescent="0.15">
      <c r="A39" s="72">
        <v>2013</v>
      </c>
      <c r="B39" s="71">
        <v>22</v>
      </c>
      <c r="D39" s="44">
        <v>1425.3</v>
      </c>
      <c r="F39" s="44">
        <v>142</v>
      </c>
      <c r="H39" s="43">
        <f>F39+D39</f>
        <v>1567.3</v>
      </c>
      <c r="I39" s="42">
        <v>220</v>
      </c>
      <c r="J39" s="91" t="s">
        <v>53</v>
      </c>
      <c r="K39" s="42">
        <v>35</v>
      </c>
      <c r="Q39" s="42">
        <f>SUM(H39:P39)</f>
        <v>1822.3</v>
      </c>
      <c r="R39" s="43">
        <v>5048.83</v>
      </c>
    </row>
    <row r="40" spans="1:19" ht="3.75" customHeight="1" x14ac:dyDescent="0.15">
      <c r="A40" s="72"/>
      <c r="D40" s="42"/>
      <c r="E40" s="42"/>
      <c r="F40" s="42"/>
      <c r="G40" s="42"/>
      <c r="Q40" s="42"/>
    </row>
    <row r="41" spans="1:19" ht="14.25" customHeight="1" x14ac:dyDescent="0.15">
      <c r="A41" s="78" t="s">
        <v>17</v>
      </c>
      <c r="B41" s="89">
        <f>SUM(B9:B39)-10</f>
        <v>310</v>
      </c>
      <c r="C41" s="92" t="s">
        <v>33</v>
      </c>
      <c r="D41" s="79">
        <f>SUM(D9:D39)</f>
        <v>10126.111999999999</v>
      </c>
      <c r="E41" s="79"/>
      <c r="F41" s="79">
        <f>SUM(F9:F40)</f>
        <v>2290.2329999999997</v>
      </c>
      <c r="G41" s="79"/>
      <c r="H41" s="79">
        <f>F41+D41-0.01</f>
        <v>12416.334999999999</v>
      </c>
      <c r="I41" s="79">
        <f>SUM(I9:I40)</f>
        <v>2877.0070000000001</v>
      </c>
      <c r="J41" s="79"/>
      <c r="K41" s="79">
        <f>SUM(K9:K40)</f>
        <v>1323.81</v>
      </c>
      <c r="L41" s="79"/>
      <c r="M41" s="79">
        <f>SUM(M9:M40)</f>
        <v>560</v>
      </c>
      <c r="N41" s="80">
        <f>SUM(N9:N40)</f>
        <v>1000</v>
      </c>
      <c r="O41" s="80">
        <f>SUM(O9:O40)</f>
        <v>200</v>
      </c>
      <c r="P41" s="80">
        <f>SUM(P9:P40)</f>
        <v>2</v>
      </c>
      <c r="Q41" s="80">
        <f>SUM(Q9:Q40)</f>
        <v>18379.162</v>
      </c>
      <c r="R41" s="79">
        <f>SUM(R9:R40)-0.01</f>
        <v>88540.875</v>
      </c>
    </row>
    <row r="42" spans="1:19" ht="11.25" customHeight="1" x14ac:dyDescent="0.15">
      <c r="A42" s="81" t="s">
        <v>10</v>
      </c>
      <c r="B42" s="82"/>
      <c r="C42" s="82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84"/>
      <c r="P42" s="84"/>
      <c r="Q42" s="83"/>
      <c r="S42" s="44">
        <f>1125+200+429</f>
        <v>1754</v>
      </c>
    </row>
    <row r="43" spans="1:19" ht="11.25" customHeight="1" x14ac:dyDescent="0.15">
      <c r="A43" s="45" t="s">
        <v>35</v>
      </c>
    </row>
    <row r="44" spans="1:19" ht="11.25" customHeight="1" x14ac:dyDescent="0.15">
      <c r="A44" s="45" t="s">
        <v>37</v>
      </c>
    </row>
    <row r="45" spans="1:19" ht="11.25" customHeight="1" x14ac:dyDescent="0.15">
      <c r="A45" s="45" t="s">
        <v>41</v>
      </c>
    </row>
    <row r="46" spans="1:19" ht="11.25" customHeight="1" x14ac:dyDescent="0.15">
      <c r="A46" s="45" t="s">
        <v>39</v>
      </c>
    </row>
    <row r="47" spans="1:19" ht="11.25" customHeight="1" x14ac:dyDescent="0.15">
      <c r="A47" s="45" t="s">
        <v>42</v>
      </c>
    </row>
    <row r="48" spans="1:19" s="85" customFormat="1" ht="11.25" customHeight="1" x14ac:dyDescent="0.15">
      <c r="A48" s="90" t="s">
        <v>50</v>
      </c>
      <c r="B48" s="86"/>
      <c r="C48" s="86"/>
      <c r="D48" s="87"/>
      <c r="E48" s="87"/>
      <c r="F48" s="87"/>
      <c r="G48" s="87"/>
      <c r="H48" s="83"/>
      <c r="I48" s="83"/>
      <c r="J48" s="83"/>
      <c r="K48" s="83"/>
      <c r="L48" s="83"/>
      <c r="M48" s="83"/>
      <c r="N48" s="84"/>
      <c r="O48" s="84"/>
      <c r="P48" s="84"/>
      <c r="Q48" s="87"/>
    </row>
    <row r="49" spans="1:1" ht="11.25" customHeight="1" x14ac:dyDescent="0.15">
      <c r="A49" s="45" t="s">
        <v>54</v>
      </c>
    </row>
    <row r="50" spans="1:1" ht="11.25" customHeight="1" x14ac:dyDescent="0.15">
      <c r="A50" s="45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Nonsovereign Approvals by Year, 1983–2016</dc:title>
  <dc:subject>ADB Annual Report 2016 - Operational Data</dc:subject>
  <dc:creator>Asian Development Bank</dc:creator>
  <cp:keywords>asian development bank, adb, adb annual report 2016, asian development bank annual report 2016, operational data, approvals, nonsovereign, private sector</cp:keywords>
  <dc:description/>
  <cp:lastModifiedBy>Microsoft Office User</cp:lastModifiedBy>
  <cp:lastPrinted>2017-04-12T02:24:51Z</cp:lastPrinted>
  <dcterms:created xsi:type="dcterms:W3CDTF">1999-01-24T03:13:28Z</dcterms:created>
  <dcterms:modified xsi:type="dcterms:W3CDTF">2017-11-15T08:08:12Z</dcterms:modified>
  <cp:category/>
</cp:coreProperties>
</file>