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hidePivotFieldList="1" defaultThemeVersion="124226"/>
  <mc:AlternateContent xmlns:mc="http://schemas.openxmlformats.org/markup-compatibility/2006">
    <mc:Choice Requires="x15">
      <x15ac:absPath xmlns:x15ac="http://schemas.microsoft.com/office/spreadsheetml/2010/11/ac" url="G:\PART\Project Processing\Fact Sheets\2022\"/>
    </mc:Choice>
  </mc:AlternateContent>
  <xr:revisionPtr revIDLastSave="0" documentId="8_{4CB2529B-A912-4DFD-AC8F-A20E8E53DFCF}" xr6:coauthVersionLast="47" xr6:coauthVersionMax="47" xr10:uidLastSave="{00000000-0000-0000-0000-000000000000}"/>
  <bookViews>
    <workbookView xWindow="-120" yWindow="-120" windowWidth="29040" windowHeight="15840" tabRatio="665" xr2:uid="{00000000-000D-0000-FFFF-FFFF00000000}"/>
  </bookViews>
  <sheets>
    <sheet name="Table 1—Formatted" sheetId="43" r:id="rId1"/>
    <sheet name="Table 2—Formatted" sheetId="55" r:id="rId2"/>
    <sheet name="App. 1 (App)" sheetId="26" state="hidden" r:id="rId3"/>
    <sheet name="11-20 Appr (ADB and OSF only)" sheetId="28" state="hidden" r:id="rId4"/>
    <sheet name="Sheet3" sheetId="39" state="hidden" r:id="rId5"/>
    <sheet name="Sheet2" sheetId="31" state="hidden" r:id="rId6"/>
    <sheet name="App. 3 (Comm)" sheetId="34" state="hidden" r:id="rId7"/>
  </sheets>
  <definedNames>
    <definedName name="_xlnm._FilterDatabase" localSheetId="1" hidden="1">'Table 2—Formatted'!$A$2:$R$631</definedName>
    <definedName name="ad" localSheetId="2">#REF!</definedName>
    <definedName name="ad" localSheetId="4">#REF!</definedName>
    <definedName name="ad">#REF!</definedName>
    <definedName name="Print_Area_MI" localSheetId="2">#REF!</definedName>
    <definedName name="Print_Area_MI" localSheetId="4">#REF!</definedName>
    <definedName name="Print_Area_MI">#REF!</definedName>
    <definedName name="TITLE">#N/A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5" i="55" l="1"/>
  <c r="Q285" i="55"/>
  <c r="P285" i="55"/>
  <c r="O285" i="55"/>
  <c r="N285" i="55"/>
  <c r="M285" i="55"/>
  <c r="L285" i="55"/>
  <c r="K285" i="55"/>
  <c r="J285" i="55"/>
  <c r="I285" i="55"/>
  <c r="H285" i="55"/>
  <c r="G285" i="55"/>
  <c r="R473" i="55"/>
  <c r="Q473" i="55"/>
  <c r="P473" i="55"/>
  <c r="O473" i="55"/>
  <c r="N473" i="55"/>
  <c r="M473" i="55"/>
  <c r="L473" i="55"/>
  <c r="K473" i="55"/>
  <c r="J473" i="55"/>
  <c r="I473" i="55"/>
  <c r="H473" i="55"/>
  <c r="G473" i="55"/>
  <c r="G205" i="55"/>
  <c r="G102" i="55"/>
  <c r="R603" i="55"/>
  <c r="Q603" i="55"/>
  <c r="P603" i="55"/>
  <c r="O603" i="55"/>
  <c r="N603" i="55"/>
  <c r="M603" i="55"/>
  <c r="L603" i="55"/>
  <c r="K603" i="55"/>
  <c r="J603" i="55"/>
  <c r="I603" i="55"/>
  <c r="H603" i="55"/>
  <c r="G603" i="55"/>
  <c r="R591" i="55"/>
  <c r="Q591" i="55"/>
  <c r="P591" i="55"/>
  <c r="O591" i="55"/>
  <c r="N591" i="55"/>
  <c r="M591" i="55"/>
  <c r="L591" i="55"/>
  <c r="K591" i="55"/>
  <c r="J591" i="55"/>
  <c r="I591" i="55"/>
  <c r="H591" i="55"/>
  <c r="G591" i="55"/>
  <c r="R575" i="55"/>
  <c r="Q575" i="55"/>
  <c r="P575" i="55"/>
  <c r="O575" i="55"/>
  <c r="N575" i="55"/>
  <c r="M575" i="55"/>
  <c r="L575" i="55"/>
  <c r="K575" i="55"/>
  <c r="J575" i="55"/>
  <c r="I575" i="55"/>
  <c r="H575" i="55"/>
  <c r="G575" i="55"/>
  <c r="R563" i="55"/>
  <c r="Q563" i="55"/>
  <c r="P563" i="55"/>
  <c r="O563" i="55"/>
  <c r="N563" i="55"/>
  <c r="M563" i="55"/>
  <c r="L563" i="55"/>
  <c r="K563" i="55"/>
  <c r="J563" i="55"/>
  <c r="I563" i="55"/>
  <c r="H563" i="55"/>
  <c r="G563" i="55"/>
  <c r="P551" i="55"/>
  <c r="O551" i="55"/>
  <c r="N551" i="55"/>
  <c r="M551" i="55"/>
  <c r="L551" i="55"/>
  <c r="K551" i="55"/>
  <c r="J551" i="55"/>
  <c r="I551" i="55"/>
  <c r="H551" i="55"/>
  <c r="G551" i="55"/>
  <c r="R539" i="55"/>
  <c r="Q539" i="55"/>
  <c r="P539" i="55"/>
  <c r="O539" i="55"/>
  <c r="N539" i="55"/>
  <c r="M539" i="55"/>
  <c r="L539" i="55"/>
  <c r="K539" i="55"/>
  <c r="J539" i="55"/>
  <c r="I539" i="55"/>
  <c r="H539" i="55"/>
  <c r="G539" i="55"/>
  <c r="R527" i="55"/>
  <c r="Q527" i="55"/>
  <c r="P527" i="55"/>
  <c r="O527" i="55"/>
  <c r="N527" i="55"/>
  <c r="M527" i="55"/>
  <c r="L527" i="55"/>
  <c r="K527" i="55"/>
  <c r="J527" i="55"/>
  <c r="I527" i="55"/>
  <c r="H527" i="55"/>
  <c r="G527" i="55"/>
  <c r="R511" i="55"/>
  <c r="Q511" i="55"/>
  <c r="P511" i="55"/>
  <c r="O511" i="55"/>
  <c r="N511" i="55"/>
  <c r="M511" i="55"/>
  <c r="L511" i="55"/>
  <c r="K511" i="55"/>
  <c r="J511" i="55"/>
  <c r="I511" i="55"/>
  <c r="H511" i="55"/>
  <c r="G511" i="55"/>
  <c r="R495" i="55"/>
  <c r="Q495" i="55"/>
  <c r="P495" i="55"/>
  <c r="O495" i="55"/>
  <c r="N495" i="55"/>
  <c r="M495" i="55"/>
  <c r="L495" i="55"/>
  <c r="K495" i="55"/>
  <c r="J495" i="55"/>
  <c r="I495" i="55"/>
  <c r="H495" i="55"/>
  <c r="G495" i="55"/>
  <c r="R489" i="55"/>
  <c r="Q489" i="55"/>
  <c r="P489" i="55"/>
  <c r="O489" i="55"/>
  <c r="N489" i="55"/>
  <c r="M489" i="55"/>
  <c r="L489" i="55"/>
  <c r="K489" i="55"/>
  <c r="J489" i="55"/>
  <c r="I489" i="55"/>
  <c r="H489" i="55"/>
  <c r="G489" i="55"/>
  <c r="R461" i="55"/>
  <c r="Q461" i="55"/>
  <c r="P461" i="55"/>
  <c r="O461" i="55"/>
  <c r="N461" i="55"/>
  <c r="M461" i="55"/>
  <c r="L461" i="55"/>
  <c r="K461" i="55"/>
  <c r="J461" i="55"/>
  <c r="I461" i="55"/>
  <c r="H461" i="55"/>
  <c r="G461" i="55"/>
  <c r="R453" i="55"/>
  <c r="Q453" i="55"/>
  <c r="P453" i="55"/>
  <c r="O453" i="55"/>
  <c r="N453" i="55"/>
  <c r="M453" i="55"/>
  <c r="L453" i="55"/>
  <c r="K453" i="55"/>
  <c r="J453" i="55"/>
  <c r="I453" i="55"/>
  <c r="H453" i="55"/>
  <c r="G453" i="55"/>
  <c r="R437" i="55"/>
  <c r="Q437" i="55"/>
  <c r="P437" i="55"/>
  <c r="O437" i="55"/>
  <c r="N437" i="55"/>
  <c r="M437" i="55"/>
  <c r="L437" i="55"/>
  <c r="K437" i="55"/>
  <c r="J437" i="55"/>
  <c r="I437" i="55"/>
  <c r="H437" i="55"/>
  <c r="G437" i="55"/>
  <c r="R421" i="55"/>
  <c r="Q421" i="55"/>
  <c r="P421" i="55"/>
  <c r="O421" i="55"/>
  <c r="N421" i="55"/>
  <c r="M421" i="55"/>
  <c r="L421" i="55"/>
  <c r="K421" i="55"/>
  <c r="J421" i="55"/>
  <c r="I421" i="55"/>
  <c r="H421" i="55"/>
  <c r="G421" i="55"/>
  <c r="R409" i="55"/>
  <c r="Q409" i="55"/>
  <c r="P409" i="55"/>
  <c r="O409" i="55"/>
  <c r="N409" i="55"/>
  <c r="M409" i="55"/>
  <c r="L409" i="55"/>
  <c r="K409" i="55"/>
  <c r="J409" i="55"/>
  <c r="I409" i="55"/>
  <c r="H409" i="55"/>
  <c r="G409" i="55"/>
  <c r="R397" i="55"/>
  <c r="Q397" i="55"/>
  <c r="P397" i="55"/>
  <c r="O397" i="55"/>
  <c r="N397" i="55"/>
  <c r="M397" i="55"/>
  <c r="L397" i="55"/>
  <c r="K397" i="55"/>
  <c r="J397" i="55"/>
  <c r="I397" i="55"/>
  <c r="H397" i="55"/>
  <c r="G397" i="55"/>
  <c r="R381" i="55"/>
  <c r="Q381" i="55"/>
  <c r="P381" i="55"/>
  <c r="O381" i="55"/>
  <c r="N381" i="55"/>
  <c r="M381" i="55"/>
  <c r="L381" i="55"/>
  <c r="K381" i="55"/>
  <c r="J381" i="55"/>
  <c r="I381" i="55"/>
  <c r="H381" i="55"/>
  <c r="G381" i="55"/>
  <c r="R369" i="55"/>
  <c r="Q369" i="55"/>
  <c r="P369" i="55"/>
  <c r="O369" i="55"/>
  <c r="N369" i="55"/>
  <c r="M369" i="55"/>
  <c r="L369" i="55"/>
  <c r="K369" i="55"/>
  <c r="J369" i="55"/>
  <c r="I369" i="55"/>
  <c r="H369" i="55"/>
  <c r="G369" i="55"/>
  <c r="R353" i="55"/>
  <c r="Q353" i="55"/>
  <c r="P353" i="55"/>
  <c r="O353" i="55"/>
  <c r="N353" i="55"/>
  <c r="M353" i="55"/>
  <c r="L353" i="55"/>
  <c r="K353" i="55"/>
  <c r="J353" i="55"/>
  <c r="I353" i="55"/>
  <c r="H353" i="55"/>
  <c r="G353" i="55"/>
  <c r="R341" i="55"/>
  <c r="Q341" i="55"/>
  <c r="P341" i="55"/>
  <c r="O341" i="55"/>
  <c r="N341" i="55"/>
  <c r="M341" i="55"/>
  <c r="L341" i="55"/>
  <c r="K341" i="55"/>
  <c r="J341" i="55"/>
  <c r="I341" i="55"/>
  <c r="H341" i="55"/>
  <c r="G341" i="55"/>
  <c r="R325" i="55"/>
  <c r="Q325" i="55"/>
  <c r="P325" i="55"/>
  <c r="O325" i="55"/>
  <c r="N325" i="55"/>
  <c r="M325" i="55"/>
  <c r="L325" i="55"/>
  <c r="K325" i="55"/>
  <c r="J325" i="55"/>
  <c r="I325" i="55"/>
  <c r="H325" i="55"/>
  <c r="G325" i="55"/>
  <c r="R309" i="55"/>
  <c r="Q309" i="55"/>
  <c r="P309" i="55"/>
  <c r="O309" i="55"/>
  <c r="N309" i="55"/>
  <c r="M309" i="55"/>
  <c r="L309" i="55"/>
  <c r="K309" i="55"/>
  <c r="J309" i="55"/>
  <c r="I309" i="55"/>
  <c r="H309" i="55"/>
  <c r="G309" i="55"/>
  <c r="R297" i="55"/>
  <c r="Q297" i="55"/>
  <c r="P297" i="55"/>
  <c r="O297" i="55"/>
  <c r="N297" i="55"/>
  <c r="M297" i="55"/>
  <c r="L297" i="55"/>
  <c r="K297" i="55"/>
  <c r="J297" i="55"/>
  <c r="I297" i="55"/>
  <c r="H297" i="55"/>
  <c r="G297" i="55"/>
  <c r="R269" i="55"/>
  <c r="Q269" i="55"/>
  <c r="P269" i="55"/>
  <c r="O269" i="55"/>
  <c r="N269" i="55"/>
  <c r="M269" i="55"/>
  <c r="L269" i="55"/>
  <c r="K269" i="55"/>
  <c r="J269" i="55"/>
  <c r="I269" i="55"/>
  <c r="H269" i="55"/>
  <c r="G269" i="55"/>
  <c r="R257" i="55"/>
  <c r="Q257" i="55"/>
  <c r="P257" i="55"/>
  <c r="O257" i="55"/>
  <c r="N257" i="55"/>
  <c r="M257" i="55"/>
  <c r="L257" i="55"/>
  <c r="K257" i="55"/>
  <c r="J257" i="55"/>
  <c r="I257" i="55"/>
  <c r="H257" i="55"/>
  <c r="G257" i="55"/>
  <c r="R241" i="55"/>
  <c r="Q241" i="55"/>
  <c r="P241" i="55"/>
  <c r="O241" i="55"/>
  <c r="N241" i="55"/>
  <c r="M241" i="55"/>
  <c r="L241" i="55"/>
  <c r="K241" i="55"/>
  <c r="J241" i="55"/>
  <c r="I241" i="55"/>
  <c r="H241" i="55"/>
  <c r="G241" i="55"/>
  <c r="R233" i="55"/>
  <c r="Q233" i="55"/>
  <c r="P233" i="55"/>
  <c r="O233" i="55"/>
  <c r="N233" i="55"/>
  <c r="M233" i="55"/>
  <c r="L233" i="55"/>
  <c r="K233" i="55"/>
  <c r="J233" i="55"/>
  <c r="I233" i="55"/>
  <c r="H233" i="55"/>
  <c r="G233" i="55"/>
  <c r="R221" i="55"/>
  <c r="Q221" i="55"/>
  <c r="P221" i="55"/>
  <c r="O221" i="55"/>
  <c r="N221" i="55"/>
  <c r="M221" i="55"/>
  <c r="L221" i="55"/>
  <c r="K221" i="55"/>
  <c r="J221" i="55"/>
  <c r="I221" i="55"/>
  <c r="H221" i="55"/>
  <c r="G221" i="55"/>
  <c r="R205" i="55"/>
  <c r="Q205" i="55"/>
  <c r="P205" i="55"/>
  <c r="O205" i="55"/>
  <c r="N205" i="55"/>
  <c r="M205" i="55"/>
  <c r="L205" i="55"/>
  <c r="K205" i="55"/>
  <c r="J205" i="55"/>
  <c r="I205" i="55"/>
  <c r="H205" i="55"/>
  <c r="R189" i="55"/>
  <c r="Q189" i="55"/>
  <c r="P189" i="55"/>
  <c r="O189" i="55"/>
  <c r="N189" i="55"/>
  <c r="M189" i="55"/>
  <c r="L189" i="55"/>
  <c r="K189" i="55"/>
  <c r="J189" i="55"/>
  <c r="I189" i="55"/>
  <c r="H189" i="55"/>
  <c r="G189" i="55"/>
  <c r="R173" i="55"/>
  <c r="Q173" i="55"/>
  <c r="P173" i="55"/>
  <c r="O173" i="55"/>
  <c r="N173" i="55"/>
  <c r="M173" i="55"/>
  <c r="L173" i="55"/>
  <c r="K173" i="55"/>
  <c r="J173" i="55"/>
  <c r="I173" i="55"/>
  <c r="H173" i="55"/>
  <c r="G173" i="55"/>
  <c r="R170" i="55"/>
  <c r="Q170" i="55"/>
  <c r="P170" i="55"/>
  <c r="O170" i="55"/>
  <c r="N170" i="55"/>
  <c r="M170" i="55"/>
  <c r="L170" i="55"/>
  <c r="K170" i="55"/>
  <c r="J170" i="55"/>
  <c r="I170" i="55"/>
  <c r="H170" i="55"/>
  <c r="G170" i="55"/>
  <c r="R154" i="55"/>
  <c r="Q154" i="55"/>
  <c r="P154" i="55"/>
  <c r="O154" i="55"/>
  <c r="N154" i="55"/>
  <c r="M154" i="55"/>
  <c r="L154" i="55"/>
  <c r="K154" i="55"/>
  <c r="J154" i="55"/>
  <c r="I154" i="55"/>
  <c r="H154" i="55"/>
  <c r="G154" i="55"/>
  <c r="R142" i="55"/>
  <c r="Q142" i="55"/>
  <c r="P142" i="55"/>
  <c r="O142" i="55"/>
  <c r="N142" i="55"/>
  <c r="M142" i="55"/>
  <c r="L142" i="55"/>
  <c r="K142" i="55"/>
  <c r="J142" i="55"/>
  <c r="I142" i="55"/>
  <c r="H142" i="55"/>
  <c r="G142" i="55"/>
  <c r="R130" i="55"/>
  <c r="Q130" i="55"/>
  <c r="P130" i="55"/>
  <c r="O130" i="55"/>
  <c r="N130" i="55"/>
  <c r="M130" i="55"/>
  <c r="L130" i="55"/>
  <c r="K130" i="55"/>
  <c r="J130" i="55"/>
  <c r="I130" i="55"/>
  <c r="H130" i="55"/>
  <c r="G130" i="55"/>
  <c r="R118" i="55"/>
  <c r="Q118" i="55"/>
  <c r="P118" i="55"/>
  <c r="O118" i="55"/>
  <c r="N118" i="55"/>
  <c r="M118" i="55"/>
  <c r="L118" i="55"/>
  <c r="K118" i="55"/>
  <c r="J118" i="55"/>
  <c r="I118" i="55"/>
  <c r="H118" i="55"/>
  <c r="G118" i="55"/>
  <c r="R102" i="55"/>
  <c r="Q102" i="55"/>
  <c r="P102" i="55"/>
  <c r="O102" i="55"/>
  <c r="N102" i="55"/>
  <c r="M102" i="55"/>
  <c r="L102" i="55"/>
  <c r="K102" i="55"/>
  <c r="J102" i="55"/>
  <c r="I102" i="55"/>
  <c r="H102" i="55"/>
  <c r="R86" i="55"/>
  <c r="Q86" i="55"/>
  <c r="P86" i="55"/>
  <c r="O86" i="55"/>
  <c r="N86" i="55"/>
  <c r="M86" i="55"/>
  <c r="L86" i="55"/>
  <c r="K86" i="55"/>
  <c r="J86" i="55"/>
  <c r="I86" i="55"/>
  <c r="H86" i="55"/>
  <c r="G86" i="55"/>
  <c r="R83" i="55"/>
  <c r="Q83" i="55"/>
  <c r="P83" i="55"/>
  <c r="O83" i="55"/>
  <c r="N83" i="55"/>
  <c r="M83" i="55"/>
  <c r="L83" i="55"/>
  <c r="K83" i="55"/>
  <c r="J83" i="55"/>
  <c r="I83" i="55"/>
  <c r="H83" i="55"/>
  <c r="G83" i="55"/>
  <c r="R67" i="55"/>
  <c r="Q67" i="55"/>
  <c r="P67" i="55"/>
  <c r="O67" i="55"/>
  <c r="N67" i="55"/>
  <c r="M67" i="55"/>
  <c r="L67" i="55"/>
  <c r="K67" i="55"/>
  <c r="J67" i="55"/>
  <c r="I67" i="55"/>
  <c r="H67" i="55"/>
  <c r="G67" i="55"/>
  <c r="R51" i="55"/>
  <c r="Q51" i="55"/>
  <c r="P51" i="55"/>
  <c r="O51" i="55"/>
  <c r="N51" i="55"/>
  <c r="M51" i="55"/>
  <c r="L51" i="55"/>
  <c r="K51" i="55"/>
  <c r="J51" i="55"/>
  <c r="I51" i="55"/>
  <c r="H51" i="55"/>
  <c r="G51" i="55"/>
  <c r="R35" i="55"/>
  <c r="Q35" i="55"/>
  <c r="P35" i="55"/>
  <c r="O35" i="55"/>
  <c r="N35" i="55"/>
  <c r="M35" i="55"/>
  <c r="L35" i="55"/>
  <c r="K35" i="55"/>
  <c r="J35" i="55"/>
  <c r="I35" i="55"/>
  <c r="H35" i="55"/>
  <c r="G35" i="55"/>
  <c r="R19" i="55"/>
  <c r="Q19" i="55"/>
  <c r="P19" i="55"/>
  <c r="O19" i="55"/>
  <c r="N19" i="55"/>
  <c r="M19" i="55"/>
  <c r="L19" i="55"/>
  <c r="K19" i="55"/>
  <c r="J19" i="55"/>
  <c r="I19" i="55"/>
  <c r="H19" i="55"/>
  <c r="G19" i="55"/>
  <c r="R3" i="55"/>
  <c r="Q3" i="55"/>
  <c r="P3" i="55"/>
  <c r="P619" i="55" s="1"/>
  <c r="O3" i="55"/>
  <c r="N3" i="55"/>
  <c r="M3" i="55"/>
  <c r="M619" i="55" s="1"/>
  <c r="L3" i="55"/>
  <c r="K3" i="55"/>
  <c r="J3" i="55"/>
  <c r="I3" i="55"/>
  <c r="H3" i="55"/>
  <c r="G3" i="55"/>
  <c r="N619" i="55" l="1"/>
  <c r="G619" i="55"/>
  <c r="O619" i="55"/>
  <c r="H619" i="55"/>
  <c r="I619" i="55"/>
  <c r="Q619" i="55"/>
  <c r="J619" i="55"/>
  <c r="R619" i="55"/>
  <c r="K619" i="55"/>
  <c r="L619" i="55"/>
  <c r="C618" i="55"/>
  <c r="B618" i="55"/>
  <c r="C617" i="55"/>
  <c r="B617" i="55"/>
  <c r="C615" i="55"/>
  <c r="B615" i="55"/>
  <c r="C614" i="55"/>
  <c r="B614" i="55"/>
  <c r="C613" i="55"/>
  <c r="B613" i="55"/>
  <c r="C612" i="55"/>
  <c r="B612" i="55"/>
  <c r="C611" i="55"/>
  <c r="B611" i="55"/>
  <c r="C610" i="55"/>
  <c r="B610" i="55"/>
  <c r="C609" i="55"/>
  <c r="B609" i="55"/>
  <c r="C608" i="55"/>
  <c r="B608" i="55"/>
  <c r="C607" i="55"/>
  <c r="B607" i="55"/>
  <c r="C606" i="55"/>
  <c r="B606" i="55"/>
  <c r="C605" i="55"/>
  <c r="B605" i="55"/>
  <c r="C602" i="55"/>
  <c r="B602" i="55"/>
  <c r="C601" i="55"/>
  <c r="B601" i="55"/>
  <c r="C600" i="55"/>
  <c r="B600" i="55"/>
  <c r="C599" i="55"/>
  <c r="B599" i="55"/>
  <c r="C598" i="55"/>
  <c r="B598" i="55"/>
  <c r="C597" i="55"/>
  <c r="B597" i="55"/>
  <c r="C596" i="55"/>
  <c r="B596" i="55"/>
  <c r="C595" i="55"/>
  <c r="B595" i="55"/>
  <c r="C594" i="55"/>
  <c r="B594" i="55"/>
  <c r="C593" i="55"/>
  <c r="B593" i="55"/>
  <c r="C592" i="55"/>
  <c r="B592" i="55"/>
  <c r="C590" i="55"/>
  <c r="B590" i="55"/>
  <c r="C589" i="55"/>
  <c r="B589" i="55"/>
  <c r="C587" i="55"/>
  <c r="B587" i="55"/>
  <c r="C586" i="55"/>
  <c r="B586" i="55"/>
  <c r="C585" i="55"/>
  <c r="B585" i="55"/>
  <c r="C584" i="55"/>
  <c r="B584" i="55"/>
  <c r="C583" i="55"/>
  <c r="B583" i="55"/>
  <c r="C582" i="55"/>
  <c r="B582" i="55"/>
  <c r="C581" i="55"/>
  <c r="B581" i="55"/>
  <c r="C580" i="55"/>
  <c r="B580" i="55"/>
  <c r="C579" i="55"/>
  <c r="B579" i="55"/>
  <c r="C578" i="55"/>
  <c r="B578" i="55"/>
  <c r="C577" i="55"/>
  <c r="B577" i="55"/>
  <c r="C574" i="55"/>
  <c r="B574" i="55"/>
  <c r="C573" i="55"/>
  <c r="B573" i="55"/>
  <c r="C572" i="55"/>
  <c r="B572" i="55"/>
  <c r="C571" i="55"/>
  <c r="B571" i="55"/>
  <c r="C570" i="55"/>
  <c r="B570" i="55"/>
  <c r="C569" i="55"/>
  <c r="B569" i="55"/>
  <c r="C568" i="55"/>
  <c r="B568" i="55"/>
  <c r="C567" i="55"/>
  <c r="B567" i="55"/>
  <c r="C566" i="55"/>
  <c r="B566" i="55"/>
  <c r="C565" i="55"/>
  <c r="B565" i="55"/>
  <c r="C564" i="55"/>
  <c r="B564" i="55"/>
  <c r="C562" i="55"/>
  <c r="B562" i="55"/>
  <c r="C561" i="55"/>
  <c r="B561" i="55"/>
  <c r="C560" i="55"/>
  <c r="B560" i="55"/>
  <c r="C559" i="55"/>
  <c r="B559" i="55"/>
  <c r="C558" i="55"/>
  <c r="B558" i="55"/>
  <c r="C557" i="55"/>
  <c r="B557" i="55"/>
  <c r="C556" i="55"/>
  <c r="B556" i="55"/>
  <c r="C555" i="55"/>
  <c r="B555" i="55"/>
  <c r="C554" i="55"/>
  <c r="B554" i="55"/>
  <c r="C553" i="55"/>
  <c r="B553" i="55"/>
  <c r="C552" i="55"/>
  <c r="B552" i="55"/>
  <c r="C550" i="55"/>
  <c r="B550" i="55"/>
  <c r="C549" i="55"/>
  <c r="B549" i="55"/>
  <c r="C548" i="55"/>
  <c r="B548" i="55"/>
  <c r="C547" i="55"/>
  <c r="B547" i="55"/>
  <c r="C546" i="55"/>
  <c r="B546" i="55"/>
  <c r="C545" i="55"/>
  <c r="B545" i="55"/>
  <c r="C544" i="55"/>
  <c r="B544" i="55"/>
  <c r="C543" i="55"/>
  <c r="B543" i="55"/>
  <c r="C542" i="55"/>
  <c r="B542" i="55"/>
  <c r="C541" i="55"/>
  <c r="B541" i="55"/>
  <c r="C540" i="55"/>
  <c r="B540" i="55"/>
  <c r="C538" i="55"/>
  <c r="B538" i="55"/>
  <c r="C537" i="55"/>
  <c r="B537" i="55"/>
  <c r="C536" i="55"/>
  <c r="B536" i="55"/>
  <c r="C535" i="55"/>
  <c r="B535" i="55"/>
  <c r="C534" i="55"/>
  <c r="B534" i="55"/>
  <c r="C533" i="55"/>
  <c r="B533" i="55"/>
  <c r="C532" i="55"/>
  <c r="B532" i="55"/>
  <c r="C531" i="55"/>
  <c r="B531" i="55"/>
  <c r="C530" i="55"/>
  <c r="B530" i="55"/>
  <c r="C529" i="55"/>
  <c r="B529" i="55"/>
  <c r="C528" i="55"/>
  <c r="B528" i="55"/>
  <c r="C526" i="55"/>
  <c r="B526" i="55"/>
  <c r="C525" i="55"/>
  <c r="B525" i="55"/>
  <c r="C523" i="55"/>
  <c r="B523" i="55"/>
  <c r="C522" i="55"/>
  <c r="B522" i="55"/>
  <c r="C521" i="55"/>
  <c r="B521" i="55"/>
  <c r="C520" i="55"/>
  <c r="B520" i="55"/>
  <c r="C519" i="55"/>
  <c r="B519" i="55"/>
  <c r="C518" i="55"/>
  <c r="B518" i="55"/>
  <c r="C517" i="55"/>
  <c r="B517" i="55"/>
  <c r="C516" i="55"/>
  <c r="B516" i="55"/>
  <c r="C515" i="55"/>
  <c r="B515" i="55"/>
  <c r="C514" i="55"/>
  <c r="B514" i="55"/>
  <c r="C513" i="55"/>
  <c r="B513" i="55"/>
  <c r="C510" i="55"/>
  <c r="B510" i="55"/>
  <c r="C509" i="55"/>
  <c r="B509" i="55"/>
  <c r="C507" i="55"/>
  <c r="B507" i="55"/>
  <c r="C506" i="55"/>
  <c r="B506" i="55"/>
  <c r="C505" i="55"/>
  <c r="B505" i="55"/>
  <c r="C504" i="55"/>
  <c r="B504" i="55"/>
  <c r="C503" i="55"/>
  <c r="B503" i="55"/>
  <c r="C502" i="55"/>
  <c r="B502" i="55"/>
  <c r="C501" i="55"/>
  <c r="B501" i="55"/>
  <c r="C500" i="55"/>
  <c r="B500" i="55"/>
  <c r="C499" i="55"/>
  <c r="B499" i="55"/>
  <c r="C498" i="55"/>
  <c r="B498" i="55"/>
  <c r="C497" i="55"/>
  <c r="B497" i="55"/>
  <c r="C494" i="55"/>
  <c r="B494" i="55"/>
  <c r="C493" i="55"/>
  <c r="B493" i="55"/>
  <c r="C492" i="55"/>
  <c r="B492" i="55"/>
  <c r="C491" i="55"/>
  <c r="B491" i="55"/>
  <c r="C490" i="55"/>
  <c r="B490" i="55"/>
  <c r="C488" i="55"/>
  <c r="B488" i="55"/>
  <c r="C487" i="55"/>
  <c r="B487" i="55"/>
  <c r="C485" i="55"/>
  <c r="B485" i="55"/>
  <c r="C484" i="55"/>
  <c r="B484" i="55"/>
  <c r="C483" i="55"/>
  <c r="B483" i="55"/>
  <c r="C482" i="55"/>
  <c r="B482" i="55"/>
  <c r="C481" i="55"/>
  <c r="B481" i="55"/>
  <c r="C480" i="55"/>
  <c r="B480" i="55"/>
  <c r="C479" i="55"/>
  <c r="B479" i="55"/>
  <c r="C478" i="55"/>
  <c r="B478" i="55"/>
  <c r="C477" i="55"/>
  <c r="B477" i="55"/>
  <c r="C476" i="55"/>
  <c r="B476" i="55"/>
  <c r="C475" i="55"/>
  <c r="B475" i="55"/>
  <c r="C472" i="55"/>
  <c r="B472" i="55"/>
  <c r="C471" i="55"/>
  <c r="B471" i="55"/>
  <c r="C470" i="55"/>
  <c r="B470" i="55"/>
  <c r="C469" i="55"/>
  <c r="B469" i="55"/>
  <c r="C468" i="55"/>
  <c r="B468" i="55"/>
  <c r="C467" i="55"/>
  <c r="B467" i="55"/>
  <c r="C466" i="55"/>
  <c r="B466" i="55"/>
  <c r="C465" i="55"/>
  <c r="B465" i="55"/>
  <c r="C464" i="55"/>
  <c r="B464" i="55"/>
  <c r="C463" i="55"/>
  <c r="B463" i="55"/>
  <c r="C462" i="55"/>
  <c r="B462" i="55"/>
  <c r="C460" i="55"/>
  <c r="B460" i="55"/>
  <c r="C459" i="55"/>
  <c r="B459" i="55"/>
  <c r="C458" i="55"/>
  <c r="B458" i="55"/>
  <c r="C457" i="55"/>
  <c r="B457" i="55"/>
  <c r="C456" i="55"/>
  <c r="B456" i="55"/>
  <c r="C455" i="55"/>
  <c r="B455" i="55"/>
  <c r="C454" i="55"/>
  <c r="B454" i="55"/>
  <c r="C452" i="55"/>
  <c r="B452" i="55"/>
  <c r="C451" i="55"/>
  <c r="B451" i="55"/>
  <c r="C449" i="55"/>
  <c r="B449" i="55"/>
  <c r="C448" i="55"/>
  <c r="B448" i="55"/>
  <c r="C447" i="55"/>
  <c r="B447" i="55"/>
  <c r="C446" i="55"/>
  <c r="B446" i="55"/>
  <c r="C445" i="55"/>
  <c r="B445" i="55"/>
  <c r="C444" i="55"/>
  <c r="B444" i="55"/>
  <c r="C443" i="55"/>
  <c r="B443" i="55"/>
  <c r="C442" i="55"/>
  <c r="B442" i="55"/>
  <c r="C441" i="55"/>
  <c r="B441" i="55"/>
  <c r="C440" i="55"/>
  <c r="B440" i="55"/>
  <c r="C439" i="55"/>
  <c r="B439" i="55"/>
  <c r="C436" i="55"/>
  <c r="B436" i="55"/>
  <c r="C435" i="55"/>
  <c r="B435" i="55"/>
  <c r="C433" i="55"/>
  <c r="B433" i="55"/>
  <c r="C432" i="55"/>
  <c r="B432" i="55"/>
  <c r="C431" i="55"/>
  <c r="B431" i="55"/>
  <c r="C430" i="55"/>
  <c r="B430" i="55"/>
  <c r="C429" i="55"/>
  <c r="B429" i="55"/>
  <c r="C428" i="55"/>
  <c r="B428" i="55"/>
  <c r="C427" i="55"/>
  <c r="B427" i="55"/>
  <c r="C426" i="55"/>
  <c r="B426" i="55"/>
  <c r="C425" i="55"/>
  <c r="B425" i="55"/>
  <c r="C424" i="55"/>
  <c r="B424" i="55"/>
  <c r="C423" i="55"/>
  <c r="B423" i="55"/>
  <c r="C420" i="55"/>
  <c r="B420" i="55"/>
  <c r="C419" i="55"/>
  <c r="B419" i="55"/>
  <c r="C418" i="55"/>
  <c r="B418" i="55"/>
  <c r="C417" i="55"/>
  <c r="B417" i="55"/>
  <c r="C416" i="55"/>
  <c r="B416" i="55"/>
  <c r="C415" i="55"/>
  <c r="B415" i="55"/>
  <c r="C414" i="55"/>
  <c r="B414" i="55"/>
  <c r="C413" i="55"/>
  <c r="B413" i="55"/>
  <c r="C412" i="55"/>
  <c r="B412" i="55"/>
  <c r="C411" i="55"/>
  <c r="B411" i="55"/>
  <c r="C410" i="55"/>
  <c r="B410" i="55"/>
  <c r="C408" i="55"/>
  <c r="B408" i="55"/>
  <c r="C407" i="55"/>
  <c r="B407" i="55"/>
  <c r="C406" i="55"/>
  <c r="B406" i="55"/>
  <c r="C405" i="55"/>
  <c r="B405" i="55"/>
  <c r="C404" i="55"/>
  <c r="B404" i="55"/>
  <c r="C403" i="55"/>
  <c r="B403" i="55"/>
  <c r="C402" i="55"/>
  <c r="B402" i="55"/>
  <c r="C401" i="55"/>
  <c r="B401" i="55"/>
  <c r="C400" i="55"/>
  <c r="B400" i="55"/>
  <c r="C399" i="55"/>
  <c r="B399" i="55"/>
  <c r="C398" i="55"/>
  <c r="B398" i="55"/>
  <c r="C396" i="55"/>
  <c r="B396" i="55"/>
  <c r="C395" i="55"/>
  <c r="B395" i="55"/>
  <c r="C393" i="55"/>
  <c r="B393" i="55"/>
  <c r="C392" i="55"/>
  <c r="B392" i="55"/>
  <c r="C391" i="55"/>
  <c r="B391" i="55"/>
  <c r="C390" i="55"/>
  <c r="B390" i="55"/>
  <c r="C389" i="55"/>
  <c r="B389" i="55"/>
  <c r="C388" i="55"/>
  <c r="B388" i="55"/>
  <c r="C387" i="55"/>
  <c r="B387" i="55"/>
  <c r="C386" i="55"/>
  <c r="B386" i="55"/>
  <c r="C385" i="55"/>
  <c r="B385" i="55"/>
  <c r="C384" i="55"/>
  <c r="B384" i="55"/>
  <c r="C383" i="55"/>
  <c r="B383" i="55"/>
  <c r="C380" i="55"/>
  <c r="B380" i="55"/>
  <c r="C379" i="55"/>
  <c r="B379" i="55"/>
  <c r="C378" i="55"/>
  <c r="B378" i="55"/>
  <c r="C377" i="55"/>
  <c r="B377" i="55"/>
  <c r="C376" i="55"/>
  <c r="B376" i="55"/>
  <c r="C375" i="55"/>
  <c r="B375" i="55"/>
  <c r="C374" i="55"/>
  <c r="B374" i="55"/>
  <c r="C373" i="55"/>
  <c r="B373" i="55"/>
  <c r="C372" i="55"/>
  <c r="B372" i="55"/>
  <c r="C371" i="55"/>
  <c r="B371" i="55"/>
  <c r="C370" i="55"/>
  <c r="B370" i="55"/>
  <c r="C368" i="55"/>
  <c r="B368" i="55"/>
  <c r="C367" i="55"/>
  <c r="B367" i="55"/>
  <c r="C365" i="55"/>
  <c r="B365" i="55"/>
  <c r="C364" i="55"/>
  <c r="B364" i="55"/>
  <c r="C363" i="55"/>
  <c r="B363" i="55"/>
  <c r="C362" i="55"/>
  <c r="B362" i="55"/>
  <c r="C361" i="55"/>
  <c r="B361" i="55"/>
  <c r="C360" i="55"/>
  <c r="B360" i="55"/>
  <c r="C359" i="55"/>
  <c r="B359" i="55"/>
  <c r="C358" i="55"/>
  <c r="B358" i="55"/>
  <c r="C357" i="55"/>
  <c r="B357" i="55"/>
  <c r="C356" i="55"/>
  <c r="B356" i="55"/>
  <c r="C355" i="55"/>
  <c r="B355" i="55"/>
  <c r="C352" i="55"/>
  <c r="B352" i="55"/>
  <c r="C351" i="55"/>
  <c r="B351" i="55"/>
  <c r="C350" i="55"/>
  <c r="B350" i="55"/>
  <c r="C349" i="55"/>
  <c r="B349" i="55"/>
  <c r="C348" i="55"/>
  <c r="B348" i="55"/>
  <c r="C347" i="55"/>
  <c r="B347" i="55"/>
  <c r="C346" i="55"/>
  <c r="B346" i="55"/>
  <c r="C345" i="55"/>
  <c r="B345" i="55"/>
  <c r="C344" i="55"/>
  <c r="B344" i="55"/>
  <c r="C343" i="55"/>
  <c r="B343" i="55"/>
  <c r="C342" i="55"/>
  <c r="B342" i="55"/>
  <c r="C340" i="55"/>
  <c r="B340" i="55"/>
  <c r="C339" i="55"/>
  <c r="B339" i="55"/>
  <c r="C337" i="55"/>
  <c r="B337" i="55"/>
  <c r="C336" i="55"/>
  <c r="B336" i="55"/>
  <c r="C335" i="55"/>
  <c r="B335" i="55"/>
  <c r="C334" i="55"/>
  <c r="B334" i="55"/>
  <c r="C333" i="55"/>
  <c r="B333" i="55"/>
  <c r="C332" i="55"/>
  <c r="B332" i="55"/>
  <c r="C331" i="55"/>
  <c r="B331" i="55"/>
  <c r="C330" i="55"/>
  <c r="B330" i="55"/>
  <c r="C329" i="55"/>
  <c r="B329" i="55"/>
  <c r="C328" i="55"/>
  <c r="B328" i="55"/>
  <c r="C327" i="55"/>
  <c r="B327" i="55"/>
  <c r="C324" i="55"/>
  <c r="B324" i="55"/>
  <c r="C323" i="55"/>
  <c r="B323" i="55"/>
  <c r="C321" i="55"/>
  <c r="B321" i="55"/>
  <c r="C320" i="55"/>
  <c r="B320" i="55"/>
  <c r="C319" i="55"/>
  <c r="B319" i="55"/>
  <c r="C318" i="55"/>
  <c r="B318" i="55"/>
  <c r="C317" i="55"/>
  <c r="B317" i="55"/>
  <c r="C316" i="55"/>
  <c r="B316" i="55"/>
  <c r="C315" i="55"/>
  <c r="B315" i="55"/>
  <c r="C314" i="55"/>
  <c r="B314" i="55"/>
  <c r="C313" i="55"/>
  <c r="B313" i="55"/>
  <c r="C312" i="55"/>
  <c r="B312" i="55"/>
  <c r="C311" i="55"/>
  <c r="B311" i="55"/>
  <c r="C308" i="55"/>
  <c r="B308" i="55"/>
  <c r="C307" i="55"/>
  <c r="B307" i="55"/>
  <c r="C306" i="55"/>
  <c r="B306" i="55"/>
  <c r="C305" i="55"/>
  <c r="B305" i="55"/>
  <c r="C304" i="55"/>
  <c r="B304" i="55"/>
  <c r="C303" i="55"/>
  <c r="B303" i="55"/>
  <c r="C302" i="55"/>
  <c r="B302" i="55"/>
  <c r="C301" i="55"/>
  <c r="B301" i="55"/>
  <c r="C300" i="55"/>
  <c r="B300" i="55"/>
  <c r="C299" i="55"/>
  <c r="B299" i="55"/>
  <c r="C298" i="55"/>
  <c r="B298" i="55"/>
  <c r="C296" i="55"/>
  <c r="B296" i="55"/>
  <c r="C295" i="55"/>
  <c r="B295" i="55"/>
  <c r="C294" i="55"/>
  <c r="B294" i="55"/>
  <c r="C293" i="55"/>
  <c r="B293" i="55"/>
  <c r="C292" i="55"/>
  <c r="B292" i="55"/>
  <c r="C291" i="55"/>
  <c r="B291" i="55"/>
  <c r="C290" i="55"/>
  <c r="B290" i="55"/>
  <c r="C289" i="55"/>
  <c r="B289" i="55"/>
  <c r="C288" i="55"/>
  <c r="B288" i="55"/>
  <c r="C287" i="55"/>
  <c r="B287" i="55"/>
  <c r="C286" i="55"/>
  <c r="B286" i="55"/>
  <c r="C284" i="55"/>
  <c r="B284" i="55"/>
  <c r="C283" i="55"/>
  <c r="B283" i="55"/>
  <c r="C281" i="55"/>
  <c r="B281" i="55"/>
  <c r="C280" i="55"/>
  <c r="B280" i="55"/>
  <c r="C279" i="55"/>
  <c r="B279" i="55"/>
  <c r="C278" i="55"/>
  <c r="B278" i="55"/>
  <c r="C277" i="55"/>
  <c r="B277" i="55"/>
  <c r="C276" i="55"/>
  <c r="B276" i="55"/>
  <c r="C275" i="55"/>
  <c r="B275" i="55"/>
  <c r="C274" i="55"/>
  <c r="B274" i="55"/>
  <c r="C273" i="55"/>
  <c r="B273" i="55"/>
  <c r="C272" i="55"/>
  <c r="B272" i="55"/>
  <c r="C271" i="55"/>
  <c r="B271" i="55"/>
  <c r="C268" i="55"/>
  <c r="B268" i="55"/>
  <c r="C267" i="55"/>
  <c r="B267" i="55"/>
  <c r="C266" i="55"/>
  <c r="B266" i="55"/>
  <c r="C265" i="55"/>
  <c r="B265" i="55"/>
  <c r="C264" i="55"/>
  <c r="B264" i="55"/>
  <c r="C263" i="55"/>
  <c r="B263" i="55"/>
  <c r="C262" i="55"/>
  <c r="B262" i="55"/>
  <c r="C261" i="55"/>
  <c r="B261" i="55"/>
  <c r="C260" i="55"/>
  <c r="B260" i="55"/>
  <c r="C259" i="55"/>
  <c r="B259" i="55"/>
  <c r="C258" i="55"/>
  <c r="B258" i="55"/>
  <c r="C256" i="55"/>
  <c r="B256" i="55"/>
  <c r="C255" i="55"/>
  <c r="B255" i="55"/>
  <c r="C253" i="55"/>
  <c r="B253" i="55"/>
  <c r="C252" i="55"/>
  <c r="B252" i="55"/>
  <c r="C251" i="55"/>
  <c r="B251" i="55"/>
  <c r="C250" i="55"/>
  <c r="B250" i="55"/>
  <c r="C249" i="55"/>
  <c r="B249" i="55"/>
  <c r="C248" i="55"/>
  <c r="B248" i="55"/>
  <c r="C247" i="55"/>
  <c r="B247" i="55"/>
  <c r="C246" i="55"/>
  <c r="B246" i="55"/>
  <c r="C245" i="55"/>
  <c r="B245" i="55"/>
  <c r="C244" i="55"/>
  <c r="B244" i="55"/>
  <c r="C243" i="55"/>
  <c r="B243" i="55"/>
  <c r="C240" i="55"/>
  <c r="B240" i="55"/>
  <c r="C239" i="55"/>
  <c r="B239" i="55"/>
  <c r="C238" i="55"/>
  <c r="B238" i="55"/>
  <c r="C237" i="55"/>
  <c r="B237" i="55"/>
  <c r="C236" i="55"/>
  <c r="B236" i="55"/>
  <c r="C235" i="55"/>
  <c r="B235" i="55"/>
  <c r="C234" i="55"/>
  <c r="B234" i="55"/>
  <c r="C232" i="55"/>
  <c r="B232" i="55"/>
  <c r="C231" i="55"/>
  <c r="B231" i="55"/>
  <c r="C230" i="55"/>
  <c r="B230" i="55"/>
  <c r="C229" i="55"/>
  <c r="B229" i="55"/>
  <c r="C228" i="55"/>
  <c r="B228" i="55"/>
  <c r="C227" i="55"/>
  <c r="B227" i="55"/>
  <c r="C226" i="55"/>
  <c r="B226" i="55"/>
  <c r="C225" i="55"/>
  <c r="B225" i="55"/>
  <c r="C224" i="55"/>
  <c r="B224" i="55"/>
  <c r="C223" i="55"/>
  <c r="B223" i="55"/>
  <c r="C222" i="55"/>
  <c r="B222" i="55"/>
  <c r="C220" i="55"/>
  <c r="B220" i="55"/>
  <c r="C219" i="55"/>
  <c r="B219" i="55"/>
  <c r="C217" i="55"/>
  <c r="B217" i="55"/>
  <c r="C216" i="55"/>
  <c r="B216" i="55"/>
  <c r="C215" i="55"/>
  <c r="B215" i="55"/>
  <c r="C214" i="55"/>
  <c r="B214" i="55"/>
  <c r="C213" i="55"/>
  <c r="B213" i="55"/>
  <c r="C212" i="55"/>
  <c r="B212" i="55"/>
  <c r="C211" i="55"/>
  <c r="B211" i="55"/>
  <c r="C210" i="55"/>
  <c r="B210" i="55"/>
  <c r="C209" i="55"/>
  <c r="B209" i="55"/>
  <c r="C208" i="55"/>
  <c r="B208" i="55"/>
  <c r="C207" i="55"/>
  <c r="B207" i="55"/>
  <c r="C204" i="55"/>
  <c r="B204" i="55"/>
  <c r="C203" i="55"/>
  <c r="B203" i="55"/>
  <c r="C201" i="55"/>
  <c r="B201" i="55"/>
  <c r="C200" i="55"/>
  <c r="B200" i="55"/>
  <c r="C199" i="55"/>
  <c r="B199" i="55"/>
  <c r="C198" i="55"/>
  <c r="B198" i="55"/>
  <c r="C197" i="55"/>
  <c r="B197" i="55"/>
  <c r="C196" i="55"/>
  <c r="B196" i="55"/>
  <c r="C195" i="55"/>
  <c r="B195" i="55"/>
  <c r="C194" i="55"/>
  <c r="B194" i="55"/>
  <c r="C193" i="55"/>
  <c r="B193" i="55"/>
  <c r="C192" i="55"/>
  <c r="B192" i="55"/>
  <c r="C191" i="55"/>
  <c r="B191" i="55"/>
  <c r="C188" i="55"/>
  <c r="B188" i="55"/>
  <c r="C187" i="55"/>
  <c r="B187" i="55"/>
  <c r="C185" i="55"/>
  <c r="B185" i="55"/>
  <c r="C184" i="55"/>
  <c r="B184" i="55"/>
  <c r="C183" i="55"/>
  <c r="B183" i="55"/>
  <c r="C182" i="55"/>
  <c r="B182" i="55"/>
  <c r="C181" i="55"/>
  <c r="B181" i="55"/>
  <c r="C180" i="55"/>
  <c r="B180" i="55"/>
  <c r="C179" i="55"/>
  <c r="B179" i="55"/>
  <c r="C178" i="55"/>
  <c r="B178" i="55"/>
  <c r="C177" i="55"/>
  <c r="B177" i="55"/>
  <c r="C176" i="55"/>
  <c r="B176" i="55"/>
  <c r="C175" i="55"/>
  <c r="B175" i="55"/>
  <c r="C172" i="55"/>
  <c r="B172" i="55"/>
  <c r="C171" i="55"/>
  <c r="B171" i="55"/>
  <c r="C169" i="55"/>
  <c r="B169" i="55"/>
  <c r="C168" i="55"/>
  <c r="B168" i="55"/>
  <c r="C166" i="55"/>
  <c r="B166" i="55"/>
  <c r="C165" i="55"/>
  <c r="B165" i="55"/>
  <c r="C164" i="55"/>
  <c r="B164" i="55"/>
  <c r="C163" i="55"/>
  <c r="B163" i="55"/>
  <c r="C162" i="55"/>
  <c r="B162" i="55"/>
  <c r="C161" i="55"/>
  <c r="B161" i="55"/>
  <c r="C160" i="55"/>
  <c r="B160" i="55"/>
  <c r="C159" i="55"/>
  <c r="B159" i="55"/>
  <c r="C158" i="55"/>
  <c r="B158" i="55"/>
  <c r="C157" i="55"/>
  <c r="B157" i="55"/>
  <c r="C156" i="55"/>
  <c r="B156" i="55"/>
  <c r="C153" i="55"/>
  <c r="B153" i="55"/>
  <c r="C152" i="55"/>
  <c r="B152" i="55"/>
  <c r="C151" i="55"/>
  <c r="B151" i="55"/>
  <c r="C150" i="55"/>
  <c r="B150" i="55"/>
  <c r="C149" i="55"/>
  <c r="B149" i="55"/>
  <c r="C148" i="55"/>
  <c r="B148" i="55"/>
  <c r="C147" i="55"/>
  <c r="B147" i="55"/>
  <c r="C146" i="55"/>
  <c r="B146" i="55"/>
  <c r="C145" i="55"/>
  <c r="B145" i="55"/>
  <c r="C144" i="55"/>
  <c r="B144" i="55"/>
  <c r="C143" i="55"/>
  <c r="B143" i="55"/>
  <c r="C141" i="55"/>
  <c r="B141" i="55"/>
  <c r="C140" i="55"/>
  <c r="B140" i="55"/>
  <c r="C139" i="55"/>
  <c r="B139" i="55"/>
  <c r="C138" i="55"/>
  <c r="B138" i="55"/>
  <c r="C137" i="55"/>
  <c r="B137" i="55"/>
  <c r="C136" i="55"/>
  <c r="B136" i="55"/>
  <c r="C135" i="55"/>
  <c r="B135" i="55"/>
  <c r="C134" i="55"/>
  <c r="B134" i="55"/>
  <c r="C133" i="55"/>
  <c r="B133" i="55"/>
  <c r="C132" i="55"/>
  <c r="B132" i="55"/>
  <c r="C131" i="55"/>
  <c r="B131" i="55"/>
  <c r="C129" i="55"/>
  <c r="B129" i="55"/>
  <c r="C128" i="55"/>
  <c r="B128" i="55"/>
  <c r="C127" i="55"/>
  <c r="B127" i="55"/>
  <c r="C126" i="55"/>
  <c r="B126" i="55"/>
  <c r="C125" i="55"/>
  <c r="B125" i="55"/>
  <c r="C124" i="55"/>
  <c r="B124" i="55"/>
  <c r="C123" i="55"/>
  <c r="B123" i="55"/>
  <c r="C122" i="55"/>
  <c r="B122" i="55"/>
  <c r="C121" i="55"/>
  <c r="B121" i="55"/>
  <c r="C120" i="55"/>
  <c r="B120" i="55"/>
  <c r="C119" i="55"/>
  <c r="B119" i="55"/>
  <c r="C117" i="55"/>
  <c r="B117" i="55"/>
  <c r="C116" i="55"/>
  <c r="B116" i="55"/>
  <c r="C114" i="55"/>
  <c r="B114" i="55"/>
  <c r="C113" i="55"/>
  <c r="B113" i="55"/>
  <c r="C112" i="55"/>
  <c r="B112" i="55"/>
  <c r="C111" i="55"/>
  <c r="B111" i="55"/>
  <c r="C110" i="55"/>
  <c r="B110" i="55"/>
  <c r="C109" i="55"/>
  <c r="B109" i="55"/>
  <c r="C108" i="55"/>
  <c r="B108" i="55"/>
  <c r="C107" i="55"/>
  <c r="B107" i="55"/>
  <c r="C106" i="55"/>
  <c r="B106" i="55"/>
  <c r="C105" i="55"/>
  <c r="B105" i="55"/>
  <c r="C104" i="55"/>
  <c r="B104" i="55"/>
  <c r="C101" i="55"/>
  <c r="B101" i="55"/>
  <c r="C100" i="55"/>
  <c r="B100" i="55"/>
  <c r="C98" i="55"/>
  <c r="B98" i="55"/>
  <c r="C97" i="55"/>
  <c r="B97" i="55"/>
  <c r="C96" i="55"/>
  <c r="B96" i="55"/>
  <c r="C95" i="55"/>
  <c r="B95" i="55"/>
  <c r="C94" i="55"/>
  <c r="B94" i="55"/>
  <c r="C93" i="55"/>
  <c r="B93" i="55"/>
  <c r="C92" i="55"/>
  <c r="B92" i="55"/>
  <c r="C91" i="55"/>
  <c r="B91" i="55"/>
  <c r="C90" i="55"/>
  <c r="B90" i="55"/>
  <c r="C89" i="55"/>
  <c r="B89" i="55"/>
  <c r="C88" i="55"/>
  <c r="B88" i="55"/>
  <c r="C85" i="55"/>
  <c r="B85" i="55"/>
  <c r="C84" i="55"/>
  <c r="B84" i="55"/>
  <c r="C82" i="55"/>
  <c r="B82" i="55"/>
  <c r="C81" i="55"/>
  <c r="B81" i="55"/>
  <c r="C79" i="55"/>
  <c r="B79" i="55"/>
  <c r="C78" i="55"/>
  <c r="B78" i="55"/>
  <c r="C77" i="55"/>
  <c r="B77" i="55"/>
  <c r="C76" i="55"/>
  <c r="B76" i="55"/>
  <c r="C75" i="55"/>
  <c r="B75" i="55"/>
  <c r="C74" i="55"/>
  <c r="B74" i="55"/>
  <c r="C73" i="55"/>
  <c r="B73" i="55"/>
  <c r="C72" i="55"/>
  <c r="B72" i="55"/>
  <c r="C71" i="55"/>
  <c r="B71" i="55"/>
  <c r="C70" i="55"/>
  <c r="B70" i="55"/>
  <c r="C69" i="55"/>
  <c r="B69" i="55"/>
  <c r="C66" i="55"/>
  <c r="B66" i="55"/>
  <c r="C65" i="55"/>
  <c r="B65" i="55"/>
  <c r="C63" i="55"/>
  <c r="B63" i="55"/>
  <c r="C62" i="55"/>
  <c r="B62" i="55"/>
  <c r="C61" i="55"/>
  <c r="B61" i="55"/>
  <c r="C60" i="55"/>
  <c r="B60" i="55"/>
  <c r="C59" i="55"/>
  <c r="B59" i="55"/>
  <c r="C58" i="55"/>
  <c r="B58" i="55"/>
  <c r="C57" i="55"/>
  <c r="B57" i="55"/>
  <c r="C56" i="55"/>
  <c r="B56" i="55"/>
  <c r="C55" i="55"/>
  <c r="B55" i="55"/>
  <c r="C54" i="55"/>
  <c r="B54" i="55"/>
  <c r="C53" i="55"/>
  <c r="B53" i="55"/>
  <c r="C50" i="55"/>
  <c r="B50" i="55"/>
  <c r="C49" i="55"/>
  <c r="B49" i="55"/>
  <c r="C47" i="55"/>
  <c r="B47" i="55"/>
  <c r="C46" i="55"/>
  <c r="B46" i="55"/>
  <c r="C45" i="55"/>
  <c r="B45" i="55"/>
  <c r="C44" i="55"/>
  <c r="B44" i="55"/>
  <c r="C43" i="55"/>
  <c r="B43" i="55"/>
  <c r="C42" i="55"/>
  <c r="B42" i="55"/>
  <c r="C41" i="55"/>
  <c r="B41" i="55"/>
  <c r="C40" i="55"/>
  <c r="B40" i="55"/>
  <c r="C39" i="55"/>
  <c r="B39" i="55"/>
  <c r="C38" i="55"/>
  <c r="B38" i="55"/>
  <c r="C37" i="55"/>
  <c r="B37" i="55"/>
  <c r="C34" i="55"/>
  <c r="B34" i="55"/>
  <c r="C33" i="55"/>
  <c r="B33" i="55"/>
  <c r="C31" i="55"/>
  <c r="B31" i="55"/>
  <c r="C30" i="55"/>
  <c r="B30" i="55"/>
  <c r="C29" i="55"/>
  <c r="B29" i="55"/>
  <c r="C28" i="55"/>
  <c r="B28" i="55"/>
  <c r="C27" i="55"/>
  <c r="B27" i="55"/>
  <c r="C26" i="55"/>
  <c r="B26" i="55"/>
  <c r="C25" i="55"/>
  <c r="B25" i="55"/>
  <c r="C24" i="55"/>
  <c r="B24" i="55"/>
  <c r="C23" i="55"/>
  <c r="B23" i="55"/>
  <c r="C22" i="55"/>
  <c r="B22" i="55"/>
  <c r="C21" i="55"/>
  <c r="B21" i="55"/>
  <c r="C18" i="55"/>
  <c r="B18" i="55"/>
  <c r="C17" i="55"/>
  <c r="B17" i="55"/>
  <c r="C15" i="55"/>
  <c r="B15" i="55"/>
  <c r="C14" i="55"/>
  <c r="B14" i="55"/>
  <c r="C13" i="55"/>
  <c r="B13" i="55"/>
  <c r="C12" i="55"/>
  <c r="B12" i="55"/>
  <c r="C11" i="55"/>
  <c r="B11" i="55"/>
  <c r="C10" i="55"/>
  <c r="B10" i="55"/>
  <c r="C9" i="55"/>
  <c r="B9" i="55"/>
  <c r="C8" i="55"/>
  <c r="B8" i="55"/>
  <c r="C7" i="55"/>
  <c r="B7" i="55"/>
  <c r="C6" i="55"/>
  <c r="B6" i="55"/>
  <c r="C5" i="55"/>
  <c r="B5" i="55"/>
  <c r="C48" i="55" l="1"/>
  <c r="B32" i="55"/>
  <c r="B588" i="55"/>
  <c r="C32" i="55"/>
  <c r="B16" i="55"/>
  <c r="C486" i="55"/>
  <c r="B338" i="55"/>
  <c r="B366" i="55"/>
  <c r="B394" i="55"/>
  <c r="B450" i="55"/>
  <c r="C563" i="55"/>
  <c r="B48" i="55"/>
  <c r="B202" i="55"/>
  <c r="C16" i="55"/>
  <c r="C524" i="55"/>
  <c r="B434" i="55"/>
  <c r="B64" i="55"/>
  <c r="C80" i="55"/>
  <c r="C285" i="55"/>
  <c r="C588" i="55"/>
  <c r="B616" i="55"/>
  <c r="B496" i="55"/>
  <c r="B527" i="55"/>
  <c r="C118" i="55"/>
  <c r="B167" i="55"/>
  <c r="C450" i="55"/>
  <c r="C167" i="55"/>
  <c r="B382" i="55"/>
  <c r="B508" i="55"/>
  <c r="B524" i="55"/>
  <c r="B52" i="55"/>
  <c r="B297" i="55"/>
  <c r="B486" i="55"/>
  <c r="C4" i="55"/>
  <c r="C20" i="55"/>
  <c r="B130" i="55"/>
  <c r="C68" i="55"/>
  <c r="B80" i="55"/>
  <c r="C221" i="55"/>
  <c r="B233" i="55"/>
  <c r="B155" i="55"/>
  <c r="B257" i="55"/>
  <c r="B285" i="55"/>
  <c r="C382" i="55"/>
  <c r="C64" i="55"/>
  <c r="B68" i="55"/>
  <c r="C142" i="55"/>
  <c r="B186" i="55"/>
  <c r="C202" i="55"/>
  <c r="B221" i="55"/>
  <c r="C257" i="55"/>
  <c r="B409" i="55"/>
  <c r="C354" i="55"/>
  <c r="C52" i="55"/>
  <c r="B170" i="55"/>
  <c r="B438" i="55"/>
  <c r="B118" i="55"/>
  <c r="C233" i="55"/>
  <c r="B369" i="55"/>
  <c r="B422" i="55"/>
  <c r="C130" i="55"/>
  <c r="B190" i="55"/>
  <c r="B270" i="55"/>
  <c r="C297" i="55"/>
  <c r="B489" i="55"/>
  <c r="B87" i="55"/>
  <c r="C103" i="55"/>
  <c r="D117" i="55" s="1"/>
  <c r="B206" i="55"/>
  <c r="C242" i="55"/>
  <c r="B174" i="55"/>
  <c r="B397" i="55"/>
  <c r="B551" i="55"/>
  <c r="C87" i="55"/>
  <c r="B99" i="55"/>
  <c r="B115" i="55"/>
  <c r="C206" i="55"/>
  <c r="B254" i="55"/>
  <c r="B282" i="55"/>
  <c r="B576" i="55"/>
  <c r="B103" i="55"/>
  <c r="B242" i="55"/>
  <c r="B563" i="55"/>
  <c r="B83" i="55"/>
  <c r="C99" i="55"/>
  <c r="C115" i="55"/>
  <c r="C254" i="55"/>
  <c r="C282" i="55"/>
  <c r="B341" i="55"/>
  <c r="C551" i="55"/>
  <c r="C270" i="55"/>
  <c r="B36" i="55"/>
  <c r="C83" i="55"/>
  <c r="C155" i="55"/>
  <c r="B218" i="55"/>
  <c r="C591" i="55"/>
  <c r="B4" i="55"/>
  <c r="B20" i="55"/>
  <c r="C36" i="55"/>
  <c r="B142" i="55"/>
  <c r="C218" i="55"/>
  <c r="B322" i="55"/>
  <c r="B354" i="55"/>
  <c r="B461" i="55"/>
  <c r="C190" i="55"/>
  <c r="C422" i="55"/>
  <c r="B310" i="55"/>
  <c r="C310" i="55"/>
  <c r="B326" i="55"/>
  <c r="C170" i="55"/>
  <c r="C369" i="55"/>
  <c r="C174" i="55"/>
  <c r="C186" i="55"/>
  <c r="C326" i="55"/>
  <c r="C409" i="55"/>
  <c r="B453" i="55"/>
  <c r="C453" i="55"/>
  <c r="B604" i="55"/>
  <c r="B539" i="55"/>
  <c r="C539" i="55"/>
  <c r="C394" i="55"/>
  <c r="C496" i="55"/>
  <c r="C322" i="55"/>
  <c r="C338" i="55"/>
  <c r="C366" i="55"/>
  <c r="C397" i="55"/>
  <c r="C434" i="55"/>
  <c r="B474" i="55"/>
  <c r="C508" i="55"/>
  <c r="C527" i="55"/>
  <c r="C341" i="55"/>
  <c r="C438" i="55"/>
  <c r="C474" i="55"/>
  <c r="C489" i="55"/>
  <c r="B512" i="55"/>
  <c r="C461" i="55"/>
  <c r="B591" i="55"/>
  <c r="C512" i="55"/>
  <c r="C576" i="55"/>
  <c r="C604" i="55"/>
  <c r="C616" i="55"/>
  <c r="B575" i="55" l="1"/>
  <c r="B19" i="55"/>
  <c r="C35" i="55"/>
  <c r="D37" i="55" s="1"/>
  <c r="C19" i="55"/>
  <c r="D27" i="55" s="1"/>
  <c r="C381" i="55"/>
  <c r="D388" i="55" s="1"/>
  <c r="C473" i="55"/>
  <c r="D483" i="55" s="1"/>
  <c r="D548" i="55"/>
  <c r="D593" i="55"/>
  <c r="D565" i="55"/>
  <c r="D537" i="55"/>
  <c r="D553" i="55"/>
  <c r="B325" i="55"/>
  <c r="C3" i="55"/>
  <c r="D12" i="55" s="1"/>
  <c r="D124" i="55"/>
  <c r="D457" i="55"/>
  <c r="D152" i="55"/>
  <c r="D232" i="55"/>
  <c r="D240" i="55"/>
  <c r="D306" i="55"/>
  <c r="D400" i="55"/>
  <c r="D172" i="55"/>
  <c r="D344" i="55"/>
  <c r="D85" i="55"/>
  <c r="D370" i="55"/>
  <c r="D410" i="55"/>
  <c r="D261" i="55"/>
  <c r="D287" i="55"/>
  <c r="D464" i="55"/>
  <c r="C437" i="55"/>
  <c r="D451" i="55" s="1"/>
  <c r="B437" i="55"/>
  <c r="B154" i="55"/>
  <c r="D231" i="55"/>
  <c r="D290" i="55"/>
  <c r="D294" i="55"/>
  <c r="D571" i="55"/>
  <c r="D574" i="55"/>
  <c r="D567" i="55"/>
  <c r="D372" i="55"/>
  <c r="D564" i="55"/>
  <c r="D293" i="55"/>
  <c r="B381" i="55"/>
  <c r="D374" i="55"/>
  <c r="B35" i="55"/>
  <c r="D566" i="55"/>
  <c r="D568" i="55"/>
  <c r="B3" i="55"/>
  <c r="D569" i="55"/>
  <c r="D572" i="55"/>
  <c r="D123" i="55"/>
  <c r="C269" i="55"/>
  <c r="D281" i="55" s="1"/>
  <c r="B353" i="55"/>
  <c r="D573" i="55"/>
  <c r="D570" i="55"/>
  <c r="B189" i="55"/>
  <c r="D291" i="55"/>
  <c r="C575" i="55"/>
  <c r="D589" i="55" s="1"/>
  <c r="C511" i="55"/>
  <c r="D521" i="55" s="1"/>
  <c r="B473" i="55"/>
  <c r="D266" i="55"/>
  <c r="D371" i="55"/>
  <c r="B603" i="55"/>
  <c r="C67" i="55"/>
  <c r="D536" i="55"/>
  <c r="D235" i="55"/>
  <c r="D292" i="55"/>
  <c r="D125" i="55"/>
  <c r="D120" i="55"/>
  <c r="D376" i="55"/>
  <c r="C189" i="55"/>
  <c r="D193" i="55" s="1"/>
  <c r="D145" i="55"/>
  <c r="D234" i="55"/>
  <c r="D127" i="55"/>
  <c r="D129" i="55"/>
  <c r="D119" i="55"/>
  <c r="D295" i="55"/>
  <c r="D529" i="55"/>
  <c r="D143" i="55"/>
  <c r="D151" i="55"/>
  <c r="D289" i="55"/>
  <c r="D237" i="55"/>
  <c r="B511" i="55"/>
  <c r="B205" i="55"/>
  <c r="D286" i="55"/>
  <c r="D296" i="55"/>
  <c r="D122" i="55"/>
  <c r="C353" i="55"/>
  <c r="D121" i="55"/>
  <c r="D379" i="55"/>
  <c r="D373" i="55"/>
  <c r="B421" i="55"/>
  <c r="D288" i="55"/>
  <c r="C51" i="55"/>
  <c r="D126" i="55"/>
  <c r="B51" i="55"/>
  <c r="D595" i="55"/>
  <c r="D262" i="55"/>
  <c r="D258" i="55"/>
  <c r="D238" i="55"/>
  <c r="B495" i="55"/>
  <c r="D594" i="55"/>
  <c r="D264" i="55"/>
  <c r="D547" i="55"/>
  <c r="D602" i="55"/>
  <c r="D598" i="55"/>
  <c r="D128" i="55"/>
  <c r="D600" i="55"/>
  <c r="D239" i="55"/>
  <c r="D541" i="55"/>
  <c r="D459" i="55"/>
  <c r="D148" i="55"/>
  <c r="D229" i="55"/>
  <c r="D150" i="55"/>
  <c r="D223" i="55"/>
  <c r="D146" i="55"/>
  <c r="D147" i="55"/>
  <c r="B173" i="55"/>
  <c r="D222" i="55"/>
  <c r="D298" i="55"/>
  <c r="D260" i="55"/>
  <c r="D259" i="55"/>
  <c r="D592" i="55"/>
  <c r="D375" i="55"/>
  <c r="D406" i="55"/>
  <c r="D378" i="55"/>
  <c r="D144" i="55"/>
  <c r="D601" i="55"/>
  <c r="D228" i="55"/>
  <c r="D268" i="55"/>
  <c r="D149" i="55"/>
  <c r="D224" i="55"/>
  <c r="D596" i="55"/>
  <c r="D380" i="55"/>
  <c r="D377" i="55"/>
  <c r="D84" i="55"/>
  <c r="C154" i="55"/>
  <c r="D597" i="55"/>
  <c r="C102" i="55"/>
  <c r="D230" i="55"/>
  <c r="D263" i="55"/>
  <c r="D227" i="55"/>
  <c r="D153" i="55"/>
  <c r="D225" i="55"/>
  <c r="D226" i="55"/>
  <c r="D236" i="55"/>
  <c r="D528" i="55"/>
  <c r="D402" i="55"/>
  <c r="C173" i="55"/>
  <c r="D178" i="55" s="1"/>
  <c r="D555" i="55"/>
  <c r="D414" i="55"/>
  <c r="C241" i="55"/>
  <c r="D408" i="55"/>
  <c r="D302" i="55"/>
  <c r="D267" i="55"/>
  <c r="D418" i="55"/>
  <c r="B241" i="55"/>
  <c r="D300" i="55"/>
  <c r="D412" i="55"/>
  <c r="B309" i="55"/>
  <c r="D562" i="55"/>
  <c r="B102" i="55"/>
  <c r="B86" i="55"/>
  <c r="B67" i="55"/>
  <c r="D265" i="55"/>
  <c r="D132" i="55"/>
  <c r="D136" i="55"/>
  <c r="D140" i="55"/>
  <c r="D134" i="55"/>
  <c r="D138" i="55"/>
  <c r="D471" i="55"/>
  <c r="D398" i="55"/>
  <c r="D454" i="55"/>
  <c r="D171" i="55"/>
  <c r="D599" i="55"/>
  <c r="D465" i="55"/>
  <c r="D467" i="55"/>
  <c r="D549" i="55"/>
  <c r="D463" i="55"/>
  <c r="D470" i="55"/>
  <c r="D557" i="55"/>
  <c r="D556" i="55"/>
  <c r="D303" i="55"/>
  <c r="D301" i="55"/>
  <c r="D307" i="55"/>
  <c r="D305" i="55"/>
  <c r="D299" i="55"/>
  <c r="D139" i="55"/>
  <c r="D559" i="55"/>
  <c r="C86" i="55"/>
  <c r="B269" i="55"/>
  <c r="D560" i="55"/>
  <c r="D131" i="55"/>
  <c r="D561" i="55"/>
  <c r="D552" i="55"/>
  <c r="D137" i="55"/>
  <c r="D135" i="55"/>
  <c r="D469" i="55"/>
  <c r="D558" i="55"/>
  <c r="D554" i="55"/>
  <c r="D308" i="55"/>
  <c r="D304" i="55"/>
  <c r="D141" i="55"/>
  <c r="D133" i="55"/>
  <c r="C309" i="55"/>
  <c r="C205" i="55"/>
  <c r="D395" i="55"/>
  <c r="D531" i="55"/>
  <c r="D533" i="55"/>
  <c r="D490" i="55"/>
  <c r="D492" i="55"/>
  <c r="D532" i="55"/>
  <c r="D540" i="55"/>
  <c r="D546" i="55"/>
  <c r="D455" i="55"/>
  <c r="D491" i="55"/>
  <c r="C495" i="55"/>
  <c r="D351" i="55"/>
  <c r="D534" i="55"/>
  <c r="D350" i="55"/>
  <c r="D419" i="55"/>
  <c r="D417" i="55"/>
  <c r="D415" i="55"/>
  <c r="D413" i="55"/>
  <c r="D411" i="55"/>
  <c r="D458" i="55"/>
  <c r="D460" i="55"/>
  <c r="D456" i="55"/>
  <c r="D538" i="55"/>
  <c r="D343" i="55"/>
  <c r="D342" i="55"/>
  <c r="C603" i="55"/>
  <c r="D530" i="55"/>
  <c r="D493" i="55"/>
  <c r="D349" i="55"/>
  <c r="D346" i="55"/>
  <c r="D550" i="55"/>
  <c r="D542" i="55"/>
  <c r="D345" i="55"/>
  <c r="D494" i="55"/>
  <c r="D544" i="55"/>
  <c r="D543" i="55"/>
  <c r="D545" i="55"/>
  <c r="D468" i="55"/>
  <c r="D472" i="55"/>
  <c r="D420" i="55"/>
  <c r="D466" i="55"/>
  <c r="D407" i="55"/>
  <c r="D405" i="55"/>
  <c r="D403" i="55"/>
  <c r="D401" i="55"/>
  <c r="D399" i="55"/>
  <c r="D348" i="55"/>
  <c r="D416" i="55"/>
  <c r="D462" i="55"/>
  <c r="D404" i="55"/>
  <c r="D352" i="55"/>
  <c r="C421" i="55"/>
  <c r="D535" i="55"/>
  <c r="D347" i="55"/>
  <c r="C325" i="55"/>
  <c r="D392" i="55" l="1"/>
  <c r="D386" i="55"/>
  <c r="D385" i="55"/>
  <c r="D389" i="55"/>
  <c r="D387" i="55"/>
  <c r="D391" i="55"/>
  <c r="D383" i="55"/>
  <c r="D384" i="55"/>
  <c r="D390" i="55"/>
  <c r="D393" i="55"/>
  <c r="D396" i="55"/>
  <c r="D394" i="55" s="1"/>
  <c r="D28" i="55"/>
  <c r="D44" i="55"/>
  <c r="D50" i="55"/>
  <c r="D21" i="55"/>
  <c r="D476" i="55"/>
  <c r="D33" i="55"/>
  <c r="D34" i="55"/>
  <c r="D482" i="55"/>
  <c r="D475" i="55"/>
  <c r="D481" i="55"/>
  <c r="D479" i="55"/>
  <c r="D39" i="55"/>
  <c r="D47" i="55"/>
  <c r="D42" i="55"/>
  <c r="D43" i="55"/>
  <c r="D41" i="55"/>
  <c r="D40" i="55"/>
  <c r="D49" i="55"/>
  <c r="D45" i="55"/>
  <c r="D46" i="55"/>
  <c r="D38" i="55"/>
  <c r="D25" i="55"/>
  <c r="D22" i="55"/>
  <c r="D26" i="55"/>
  <c r="D447" i="55"/>
  <c r="D30" i="55"/>
  <c r="D24" i="55"/>
  <c r="D23" i="55"/>
  <c r="D31" i="55"/>
  <c r="D29" i="55"/>
  <c r="D488" i="55"/>
  <c r="D480" i="55"/>
  <c r="D484" i="55"/>
  <c r="D487" i="55"/>
  <c r="D478" i="55"/>
  <c r="D477" i="55"/>
  <c r="D485" i="55"/>
  <c r="D271" i="55"/>
  <c r="D17" i="55"/>
  <c r="D577" i="55"/>
  <c r="D583" i="55"/>
  <c r="D578" i="55"/>
  <c r="D515" i="55"/>
  <c r="D584" i="55"/>
  <c r="D14" i="55"/>
  <c r="D18" i="55"/>
  <c r="D15" i="55"/>
  <c r="D6" i="55"/>
  <c r="D5" i="55"/>
  <c r="D579" i="55"/>
  <c r="D526" i="55"/>
  <c r="D10" i="55"/>
  <c r="D8" i="55"/>
  <c r="D170" i="55"/>
  <c r="D522" i="55"/>
  <c r="D525" i="55"/>
  <c r="D520" i="55"/>
  <c r="D11" i="55"/>
  <c r="D446" i="55"/>
  <c r="D7" i="55"/>
  <c r="D9" i="55"/>
  <c r="D13" i="55"/>
  <c r="D362" i="55"/>
  <c r="D449" i="55"/>
  <c r="D452" i="55"/>
  <c r="D450" i="55" s="1"/>
  <c r="D161" i="55"/>
  <c r="D70" i="55"/>
  <c r="D111" i="55"/>
  <c r="D439" i="55"/>
  <c r="D312" i="55"/>
  <c r="D253" i="55"/>
  <c r="D516" i="55"/>
  <c r="D63" i="55"/>
  <c r="D448" i="55"/>
  <c r="D441" i="55"/>
  <c r="D440" i="55"/>
  <c r="D443" i="55"/>
  <c r="D442" i="55"/>
  <c r="D83" i="55"/>
  <c r="D274" i="55"/>
  <c r="D444" i="55"/>
  <c r="D445" i="55"/>
  <c r="D183" i="55"/>
  <c r="D191" i="55"/>
  <c r="D563" i="55"/>
  <c r="D518" i="55"/>
  <c r="D514" i="55"/>
  <c r="D519" i="55"/>
  <c r="D513" i="55"/>
  <c r="D517" i="55"/>
  <c r="D523" i="55"/>
  <c r="D357" i="55"/>
  <c r="D311" i="55"/>
  <c r="D277" i="55"/>
  <c r="D283" i="55"/>
  <c r="D200" i="55"/>
  <c r="D196" i="55"/>
  <c r="D194" i="55"/>
  <c r="D201" i="55"/>
  <c r="D184" i="55"/>
  <c r="D156" i="55"/>
  <c r="D116" i="55"/>
  <c r="D115" i="55" s="1"/>
  <c r="D187" i="55"/>
  <c r="D181" i="55"/>
  <c r="D180" i="55"/>
  <c r="D580" i="55"/>
  <c r="D185" i="55"/>
  <c r="D273" i="55"/>
  <c r="D582" i="55"/>
  <c r="D585" i="55"/>
  <c r="D279" i="55"/>
  <c r="D586" i="55"/>
  <c r="D179" i="55"/>
  <c r="D368" i="55"/>
  <c r="D278" i="55"/>
  <c r="D276" i="55"/>
  <c r="D272" i="55"/>
  <c r="D280" i="55"/>
  <c r="D590" i="55"/>
  <c r="D588" i="55" s="1"/>
  <c r="D112" i="55"/>
  <c r="D587" i="55"/>
  <c r="D182" i="55"/>
  <c r="D359" i="55"/>
  <c r="D284" i="55"/>
  <c r="D581" i="55"/>
  <c r="D275" i="55"/>
  <c r="D76" i="55"/>
  <c r="D188" i="55"/>
  <c r="D176" i="55"/>
  <c r="D54" i="55"/>
  <c r="D65" i="55"/>
  <c r="D81" i="55"/>
  <c r="D78" i="55"/>
  <c r="D113" i="55"/>
  <c r="D315" i="55"/>
  <c r="D77" i="55"/>
  <c r="D72" i="55"/>
  <c r="D110" i="55"/>
  <c r="D79" i="55"/>
  <c r="D74" i="55"/>
  <c r="D69" i="55"/>
  <c r="D82" i="55"/>
  <c r="D369" i="55"/>
  <c r="D203" i="55"/>
  <c r="D285" i="55"/>
  <c r="D75" i="55"/>
  <c r="D71" i="55"/>
  <c r="D159" i="55"/>
  <c r="D73" i="55"/>
  <c r="D158" i="55"/>
  <c r="D163" i="55"/>
  <c r="D58" i="55"/>
  <c r="D118" i="55"/>
  <c r="D198" i="55"/>
  <c r="D363" i="55"/>
  <c r="D365" i="55"/>
  <c r="D195" i="55"/>
  <c r="D169" i="55"/>
  <c r="D62" i="55"/>
  <c r="D142" i="55"/>
  <c r="D221" i="55"/>
  <c r="D361" i="55"/>
  <c r="D192" i="55"/>
  <c r="D360" i="55"/>
  <c r="D364" i="55"/>
  <c r="D164" i="55"/>
  <c r="D56" i="55"/>
  <c r="D61" i="55"/>
  <c r="D197" i="55"/>
  <c r="D367" i="55"/>
  <c r="D157" i="55"/>
  <c r="D57" i="55"/>
  <c r="D204" i="55"/>
  <c r="D358" i="55"/>
  <c r="D356" i="55"/>
  <c r="D199" i="55"/>
  <c r="D59" i="55"/>
  <c r="D53" i="55"/>
  <c r="D355" i="55"/>
  <c r="D166" i="55"/>
  <c r="D60" i="55"/>
  <c r="D55" i="55"/>
  <c r="D66" i="55"/>
  <c r="D319" i="55"/>
  <c r="D324" i="55"/>
  <c r="D168" i="55"/>
  <c r="D165" i="55"/>
  <c r="B619" i="55"/>
  <c r="D233" i="55"/>
  <c r="D114" i="55"/>
  <c r="D162" i="55"/>
  <c r="D160" i="55"/>
  <c r="D104" i="55"/>
  <c r="D107" i="55"/>
  <c r="D591" i="55"/>
  <c r="D105" i="55"/>
  <c r="D106" i="55"/>
  <c r="D109" i="55"/>
  <c r="D297" i="55"/>
  <c r="D257" i="55"/>
  <c r="D108" i="55"/>
  <c r="D245" i="55"/>
  <c r="D175" i="55"/>
  <c r="D177" i="55"/>
  <c r="D397" i="55"/>
  <c r="D246" i="55"/>
  <c r="D461" i="55"/>
  <c r="D255" i="55"/>
  <c r="D256" i="55"/>
  <c r="D248" i="55"/>
  <c r="D252" i="55"/>
  <c r="D251" i="55"/>
  <c r="D249" i="55"/>
  <c r="D243" i="55"/>
  <c r="D250" i="55"/>
  <c r="D247" i="55"/>
  <c r="D244" i="55"/>
  <c r="D323" i="55"/>
  <c r="D321" i="55"/>
  <c r="D314" i="55"/>
  <c r="D317" i="55"/>
  <c r="D551" i="55"/>
  <c r="D453" i="55"/>
  <c r="D318" i="55"/>
  <c r="D316" i="55"/>
  <c r="D95" i="55"/>
  <c r="D92" i="55"/>
  <c r="D93" i="55"/>
  <c r="D90" i="55"/>
  <c r="D91" i="55"/>
  <c r="D88" i="55"/>
  <c r="D89" i="55"/>
  <c r="D100" i="55"/>
  <c r="D98" i="55"/>
  <c r="D94" i="55"/>
  <c r="D101" i="55"/>
  <c r="D96" i="55"/>
  <c r="D97" i="55"/>
  <c r="D210" i="55"/>
  <c r="D208" i="55"/>
  <c r="D220" i="55"/>
  <c r="D213" i="55"/>
  <c r="D209" i="55"/>
  <c r="D217" i="55"/>
  <c r="D207" i="55"/>
  <c r="D211" i="55"/>
  <c r="D212" i="55"/>
  <c r="D219" i="55"/>
  <c r="D216" i="55"/>
  <c r="D214" i="55"/>
  <c r="D215" i="55"/>
  <c r="D320" i="55"/>
  <c r="D130" i="55"/>
  <c r="D409" i="55"/>
  <c r="D313" i="55"/>
  <c r="D527" i="55"/>
  <c r="D489" i="55"/>
  <c r="C619" i="55"/>
  <c r="D614" i="55"/>
  <c r="D612" i="55"/>
  <c r="D610" i="55"/>
  <c r="D608" i="55"/>
  <c r="D606" i="55"/>
  <c r="D613" i="55"/>
  <c r="D609" i="55"/>
  <c r="D605" i="55"/>
  <c r="D615" i="55"/>
  <c r="D617" i="55"/>
  <c r="D618" i="55"/>
  <c r="D611" i="55"/>
  <c r="D607" i="55"/>
  <c r="D329" i="55"/>
  <c r="D340" i="55"/>
  <c r="D336" i="55"/>
  <c r="D337" i="55"/>
  <c r="D330" i="55"/>
  <c r="D333" i="55"/>
  <c r="D332" i="55"/>
  <c r="D327" i="55"/>
  <c r="D334" i="55"/>
  <c r="D335" i="55"/>
  <c r="D328" i="55"/>
  <c r="D331" i="55"/>
  <c r="D339" i="55"/>
  <c r="D435" i="55"/>
  <c r="D433" i="55"/>
  <c r="D431" i="55"/>
  <c r="D429" i="55"/>
  <c r="D427" i="55"/>
  <c r="D425" i="55"/>
  <c r="D423" i="55"/>
  <c r="D424" i="55"/>
  <c r="D428" i="55"/>
  <c r="D432" i="55"/>
  <c r="D436" i="55"/>
  <c r="D430" i="55"/>
  <c r="D426" i="55"/>
  <c r="D500" i="55"/>
  <c r="D506" i="55"/>
  <c r="D498" i="55"/>
  <c r="D501" i="55"/>
  <c r="D497" i="55"/>
  <c r="D509" i="55"/>
  <c r="D499" i="55"/>
  <c r="D507" i="55"/>
  <c r="D510" i="55"/>
  <c r="D505" i="55"/>
  <c r="D504" i="55"/>
  <c r="D502" i="55"/>
  <c r="D503" i="55"/>
  <c r="D341" i="55"/>
  <c r="D539" i="55"/>
  <c r="D382" i="55" l="1"/>
  <c r="D381" i="55" s="1"/>
  <c r="D32" i="55"/>
  <c r="D48" i="55"/>
  <c r="D486" i="55"/>
  <c r="D36" i="55"/>
  <c r="D20" i="55"/>
  <c r="D474" i="55"/>
  <c r="D16" i="55"/>
  <c r="D524" i="55"/>
  <c r="D64" i="55"/>
  <c r="D186" i="55"/>
  <c r="D4" i="55"/>
  <c r="D438" i="55"/>
  <c r="D437" i="55" s="1"/>
  <c r="D512" i="55"/>
  <c r="D202" i="55"/>
  <c r="D576" i="55"/>
  <c r="D575" i="55" s="1"/>
  <c r="D366" i="55"/>
  <c r="D282" i="55"/>
  <c r="D270" i="55"/>
  <c r="D80" i="55"/>
  <c r="D322" i="55"/>
  <c r="D354" i="55"/>
  <c r="D167" i="55"/>
  <c r="D174" i="55"/>
  <c r="D190" i="55"/>
  <c r="D68" i="55"/>
  <c r="D155" i="55"/>
  <c r="D338" i="55"/>
  <c r="D52" i="55"/>
  <c r="D103" i="55"/>
  <c r="D102" i="55" s="1"/>
  <c r="D242" i="55"/>
  <c r="D87" i="55"/>
  <c r="D310" i="55"/>
  <c r="D254" i="55"/>
  <c r="D508" i="55"/>
  <c r="D206" i="55"/>
  <c r="D99" i="55"/>
  <c r="D218" i="55"/>
  <c r="D422" i="55"/>
  <c r="D496" i="55"/>
  <c r="D616" i="55"/>
  <c r="D604" i="55"/>
  <c r="D326" i="55"/>
  <c r="D434" i="55"/>
  <c r="D19" i="55" l="1"/>
  <c r="D35" i="55"/>
  <c r="D473" i="55"/>
  <c r="D173" i="55"/>
  <c r="D3" i="55"/>
  <c r="D511" i="55"/>
  <c r="D51" i="55"/>
  <c r="D353" i="55"/>
  <c r="D269" i="55"/>
  <c r="D189" i="55"/>
  <c r="D67" i="55"/>
  <c r="D309" i="55"/>
  <c r="D154" i="55"/>
  <c r="D86" i="55"/>
  <c r="D325" i="55"/>
  <c r="D421" i="55"/>
  <c r="D603" i="55"/>
  <c r="D495" i="55"/>
  <c r="D241" i="55"/>
  <c r="D205" i="55"/>
  <c r="D151" i="43" l="1"/>
  <c r="D150" i="43"/>
  <c r="D149" i="43"/>
  <c r="D148" i="43"/>
  <c r="C147" i="43"/>
  <c r="B147" i="43"/>
  <c r="D146" i="43"/>
  <c r="D145" i="43"/>
  <c r="C144" i="43"/>
  <c r="B144" i="43"/>
  <c r="D143" i="43"/>
  <c r="D142" i="43"/>
  <c r="D141" i="43"/>
  <c r="D140" i="43"/>
  <c r="D139" i="43"/>
  <c r="C138" i="43"/>
  <c r="B138" i="43"/>
  <c r="D137" i="43"/>
  <c r="D136" i="43"/>
  <c r="C135" i="43"/>
  <c r="B135" i="43"/>
  <c r="D134" i="43"/>
  <c r="C133" i="43"/>
  <c r="B133" i="43"/>
  <c r="D132" i="43"/>
  <c r="D131" i="43"/>
  <c r="C130" i="43"/>
  <c r="B130" i="43"/>
  <c r="D129" i="43"/>
  <c r="D128" i="43"/>
  <c r="C127" i="43"/>
  <c r="B127" i="43"/>
  <c r="D126" i="43"/>
  <c r="D125" i="43"/>
  <c r="D124" i="43"/>
  <c r="C123" i="43"/>
  <c r="B123" i="43"/>
  <c r="D122" i="43"/>
  <c r="D121" i="43"/>
  <c r="D120" i="43"/>
  <c r="C119" i="43"/>
  <c r="B119" i="43"/>
  <c r="D118" i="43"/>
  <c r="D117" i="43"/>
  <c r="D116" i="43"/>
  <c r="D115" i="43"/>
  <c r="C114" i="43"/>
  <c r="B114" i="43"/>
  <c r="D113" i="43"/>
  <c r="D112" i="43"/>
  <c r="D111" i="43"/>
  <c r="C110" i="43"/>
  <c r="B110" i="43"/>
  <c r="D109" i="43"/>
  <c r="D108" i="43"/>
  <c r="D107" i="43"/>
  <c r="C106" i="43"/>
  <c r="B106" i="43"/>
  <c r="D105" i="43"/>
  <c r="D104" i="43"/>
  <c r="D103" i="43"/>
  <c r="C102" i="43"/>
  <c r="B102" i="43"/>
  <c r="D101" i="43"/>
  <c r="D100" i="43"/>
  <c r="D99" i="43"/>
  <c r="C98" i="43"/>
  <c r="B98" i="43"/>
  <c r="D97" i="43"/>
  <c r="D96" i="43"/>
  <c r="C95" i="43"/>
  <c r="B95" i="43"/>
  <c r="D94" i="43"/>
  <c r="D93" i="43"/>
  <c r="D92" i="43"/>
  <c r="D91" i="43"/>
  <c r="C90" i="43"/>
  <c r="B90" i="43"/>
  <c r="D89" i="43"/>
  <c r="C88" i="43"/>
  <c r="B88" i="43"/>
  <c r="D87" i="43"/>
  <c r="D86" i="43"/>
  <c r="D85" i="43"/>
  <c r="D84" i="43"/>
  <c r="C83" i="43"/>
  <c r="B83" i="43"/>
  <c r="D82" i="43"/>
  <c r="D81" i="43"/>
  <c r="C80" i="43"/>
  <c r="B80" i="43"/>
  <c r="D79" i="43"/>
  <c r="D78" i="43"/>
  <c r="D77" i="43"/>
  <c r="D76" i="43"/>
  <c r="C75" i="43"/>
  <c r="B75" i="43"/>
  <c r="D74" i="43"/>
  <c r="C73" i="43"/>
  <c r="B73" i="43"/>
  <c r="D72" i="43"/>
  <c r="D71" i="43"/>
  <c r="D70" i="43"/>
  <c r="C69" i="43"/>
  <c r="B69" i="43"/>
  <c r="D68" i="43"/>
  <c r="D67" i="43"/>
  <c r="C66" i="43"/>
  <c r="B66" i="43"/>
  <c r="D65" i="43"/>
  <c r="C64" i="43"/>
  <c r="B64" i="43"/>
  <c r="D63" i="43"/>
  <c r="D62" i="43"/>
  <c r="D61" i="43"/>
  <c r="C60" i="43"/>
  <c r="B60" i="43"/>
  <c r="D59" i="43"/>
  <c r="D58" i="43"/>
  <c r="C57" i="43"/>
  <c r="B57" i="43"/>
  <c r="D56" i="43"/>
  <c r="D55" i="43"/>
  <c r="C54" i="43"/>
  <c r="B54" i="43"/>
  <c r="D53" i="43"/>
  <c r="D52" i="43"/>
  <c r="D51" i="43"/>
  <c r="D50" i="43"/>
  <c r="C49" i="43"/>
  <c r="B49" i="43"/>
  <c r="D48" i="43"/>
  <c r="D47" i="43"/>
  <c r="D46" i="43"/>
  <c r="D45" i="43"/>
  <c r="C44" i="43"/>
  <c r="B44" i="43"/>
  <c r="D43" i="43"/>
  <c r="D42" i="43"/>
  <c r="D41" i="43"/>
  <c r="C40" i="43"/>
  <c r="B40" i="43"/>
  <c r="D39" i="43"/>
  <c r="D38" i="43"/>
  <c r="D37" i="43"/>
  <c r="C36" i="43"/>
  <c r="B36" i="43"/>
  <c r="D35" i="43"/>
  <c r="D34" i="43"/>
  <c r="C33" i="43"/>
  <c r="B33" i="43"/>
  <c r="D32" i="43"/>
  <c r="C31" i="43"/>
  <c r="B31" i="43"/>
  <c r="D30" i="43"/>
  <c r="D29" i="43"/>
  <c r="D28" i="43"/>
  <c r="C27" i="43"/>
  <c r="B27" i="43"/>
  <c r="D26" i="43"/>
  <c r="D25" i="43"/>
  <c r="D24" i="43"/>
  <c r="D23" i="43"/>
  <c r="D22" i="43"/>
  <c r="C21" i="43"/>
  <c r="B21" i="43"/>
  <c r="D20" i="43"/>
  <c r="D19" i="43"/>
  <c r="D18" i="43"/>
  <c r="C17" i="43"/>
  <c r="B17" i="43"/>
  <c r="D16" i="43"/>
  <c r="D15" i="43"/>
  <c r="D14" i="43"/>
  <c r="D13" i="43"/>
  <c r="C12" i="43"/>
  <c r="B12" i="43"/>
  <c r="D11" i="43"/>
  <c r="D10" i="43"/>
  <c r="C9" i="43"/>
  <c r="B9" i="43"/>
  <c r="D8" i="43"/>
  <c r="D7" i="43"/>
  <c r="D6" i="43"/>
  <c r="C5" i="43"/>
  <c r="B5" i="43"/>
  <c r="D4" i="43"/>
  <c r="C3" i="43"/>
  <c r="B3" i="43"/>
  <c r="D144" i="43" l="1"/>
  <c r="D54" i="43"/>
  <c r="D66" i="43"/>
  <c r="D44" i="43"/>
  <c r="D21" i="43"/>
  <c r="D73" i="43"/>
  <c r="D130" i="43"/>
  <c r="D106" i="43"/>
  <c r="D95" i="43"/>
  <c r="D114" i="43"/>
  <c r="D127" i="43"/>
  <c r="D5" i="43"/>
  <c r="D31" i="43"/>
  <c r="D49" i="43"/>
  <c r="D12" i="43"/>
  <c r="D17" i="43"/>
  <c r="D36" i="43"/>
  <c r="D123" i="43"/>
  <c r="D147" i="43"/>
  <c r="D80" i="43"/>
  <c r="D98" i="43"/>
  <c r="D57" i="43"/>
  <c r="D69" i="43"/>
  <c r="D75" i="43"/>
  <c r="D88" i="43"/>
  <c r="D33" i="43"/>
  <c r="D64" i="43"/>
  <c r="D9" i="43"/>
  <c r="D83" i="43"/>
  <c r="D138" i="43"/>
  <c r="C152" i="43"/>
  <c r="D40" i="43"/>
  <c r="D27" i="43"/>
  <c r="D119" i="43"/>
  <c r="D135" i="43"/>
  <c r="D60" i="43"/>
  <c r="D90" i="43"/>
  <c r="D102" i="43"/>
  <c r="B152" i="43"/>
  <c r="D110" i="43"/>
  <c r="D133" i="43"/>
  <c r="D3" i="43"/>
  <c r="D152" i="43" l="1"/>
  <c r="G59" i="34" l="1"/>
  <c r="E59" i="34"/>
  <c r="J59" i="34" s="1"/>
  <c r="D59" i="34"/>
  <c r="I59" i="34" s="1"/>
  <c r="G57" i="34"/>
  <c r="L57" i="34" s="1"/>
  <c r="E57" i="34"/>
  <c r="J57" i="34" s="1"/>
  <c r="D57" i="34"/>
  <c r="I57" i="34" s="1"/>
  <c r="G56" i="34"/>
  <c r="L56" i="34" s="1"/>
  <c r="E56" i="34"/>
  <c r="J56" i="34" s="1"/>
  <c r="D56" i="34"/>
  <c r="I56" i="34" s="1"/>
  <c r="G55" i="34"/>
  <c r="L55" i="34" s="1"/>
  <c r="E55" i="34"/>
  <c r="J55" i="34" s="1"/>
  <c r="D55" i="34"/>
  <c r="I55" i="34" s="1"/>
  <c r="G54" i="34"/>
  <c r="L54" i="34" s="1"/>
  <c r="E54" i="34"/>
  <c r="J54" i="34" s="1"/>
  <c r="D54" i="34"/>
  <c r="I54" i="34" s="1"/>
  <c r="G53" i="34"/>
  <c r="L53" i="34" s="1"/>
  <c r="E53" i="34"/>
  <c r="J53" i="34" s="1"/>
  <c r="D53" i="34"/>
  <c r="I53" i="34" s="1"/>
  <c r="G52" i="34"/>
  <c r="L52" i="34" s="1"/>
  <c r="E52" i="34"/>
  <c r="J52" i="34" s="1"/>
  <c r="D52" i="34"/>
  <c r="I52" i="34" s="1"/>
  <c r="G51" i="34"/>
  <c r="L51" i="34" s="1"/>
  <c r="E51" i="34"/>
  <c r="J51" i="34" s="1"/>
  <c r="D51" i="34"/>
  <c r="I51" i="34" s="1"/>
  <c r="G50" i="34"/>
  <c r="L50" i="34" s="1"/>
  <c r="E50" i="34"/>
  <c r="J50" i="34" s="1"/>
  <c r="D50" i="34"/>
  <c r="I50" i="34" s="1"/>
  <c r="G49" i="34"/>
  <c r="L49" i="34" s="1"/>
  <c r="E49" i="34"/>
  <c r="J49" i="34" s="1"/>
  <c r="D49" i="34"/>
  <c r="I49" i="34" s="1"/>
  <c r="G48" i="34"/>
  <c r="L48" i="34" s="1"/>
  <c r="E48" i="34"/>
  <c r="J48" i="34" s="1"/>
  <c r="D48" i="34"/>
  <c r="I48" i="34" s="1"/>
  <c r="G47" i="34"/>
  <c r="L47" i="34" s="1"/>
  <c r="E47" i="34"/>
  <c r="J47" i="34" s="1"/>
  <c r="D47" i="34"/>
  <c r="I47" i="34" s="1"/>
  <c r="G45" i="34"/>
  <c r="L45" i="34" s="1"/>
  <c r="E45" i="34"/>
  <c r="J45" i="34" s="1"/>
  <c r="D45" i="34"/>
  <c r="I45" i="34" s="1"/>
  <c r="G44" i="34"/>
  <c r="L44" i="34" s="1"/>
  <c r="E44" i="34"/>
  <c r="J44" i="34" s="1"/>
  <c r="D44" i="34"/>
  <c r="I44" i="34" s="1"/>
  <c r="G43" i="34"/>
  <c r="L43" i="34" s="1"/>
  <c r="E43" i="34"/>
  <c r="J43" i="34" s="1"/>
  <c r="D43" i="34"/>
  <c r="I43" i="34" s="1"/>
  <c r="G42" i="34"/>
  <c r="L42" i="34" s="1"/>
  <c r="E42" i="34"/>
  <c r="J42" i="34" s="1"/>
  <c r="D42" i="34"/>
  <c r="I42" i="34" s="1"/>
  <c r="G41" i="34"/>
  <c r="L41" i="34" s="1"/>
  <c r="E41" i="34"/>
  <c r="J41" i="34" s="1"/>
  <c r="D41" i="34"/>
  <c r="I41" i="34" s="1"/>
  <c r="G40" i="34"/>
  <c r="L40" i="34" s="1"/>
  <c r="E40" i="34"/>
  <c r="J40" i="34" s="1"/>
  <c r="D40" i="34"/>
  <c r="I40" i="34" s="1"/>
  <c r="G39" i="34"/>
  <c r="L39" i="34" s="1"/>
  <c r="E39" i="34"/>
  <c r="J39" i="34" s="1"/>
  <c r="D39" i="34"/>
  <c r="I39" i="34" s="1"/>
  <c r="G38" i="34"/>
  <c r="L38" i="34" s="1"/>
  <c r="E38" i="34"/>
  <c r="J38" i="34" s="1"/>
  <c r="D38" i="34"/>
  <c r="I38" i="34" s="1"/>
  <c r="G37" i="34"/>
  <c r="L37" i="34" s="1"/>
  <c r="E37" i="34"/>
  <c r="J37" i="34" s="1"/>
  <c r="D37" i="34"/>
  <c r="I37" i="34" s="1"/>
  <c r="G36" i="34"/>
  <c r="L36" i="34" s="1"/>
  <c r="E36" i="34"/>
  <c r="J36" i="34" s="1"/>
  <c r="D36" i="34"/>
  <c r="I36" i="34" s="1"/>
  <c r="G35" i="34"/>
  <c r="L35" i="34" s="1"/>
  <c r="E35" i="34"/>
  <c r="J35" i="34" s="1"/>
  <c r="D35" i="34"/>
  <c r="I35" i="34" s="1"/>
  <c r="G34" i="34"/>
  <c r="L34" i="34" s="1"/>
  <c r="E34" i="34"/>
  <c r="J34" i="34" s="1"/>
  <c r="D34" i="34"/>
  <c r="I34" i="34" s="1"/>
  <c r="G33" i="34"/>
  <c r="L33" i="34" s="1"/>
  <c r="E33" i="34"/>
  <c r="J33" i="34" s="1"/>
  <c r="D33" i="34"/>
  <c r="I33" i="34" s="1"/>
  <c r="G32" i="34"/>
  <c r="L32" i="34" s="1"/>
  <c r="E32" i="34"/>
  <c r="J32" i="34" s="1"/>
  <c r="D32" i="34"/>
  <c r="I32" i="34" s="1"/>
  <c r="G30" i="34"/>
  <c r="L30" i="34" s="1"/>
  <c r="E30" i="34"/>
  <c r="J30" i="34" s="1"/>
  <c r="D30" i="34"/>
  <c r="I30" i="34" s="1"/>
  <c r="G29" i="34"/>
  <c r="L29" i="34" s="1"/>
  <c r="E29" i="34"/>
  <c r="J29" i="34" s="1"/>
  <c r="D29" i="34"/>
  <c r="I29" i="34" s="1"/>
  <c r="G28" i="34"/>
  <c r="L28" i="34" s="1"/>
  <c r="E28" i="34"/>
  <c r="J28" i="34" s="1"/>
  <c r="D28" i="34"/>
  <c r="I28" i="34" s="1"/>
  <c r="G27" i="34"/>
  <c r="L27" i="34" s="1"/>
  <c r="E27" i="34"/>
  <c r="J27" i="34" s="1"/>
  <c r="D27" i="34"/>
  <c r="I27" i="34" s="1"/>
  <c r="G26" i="34"/>
  <c r="L26" i="34" s="1"/>
  <c r="E26" i="34"/>
  <c r="J26" i="34" s="1"/>
  <c r="D26" i="34"/>
  <c r="I26" i="34" s="1"/>
  <c r="G24" i="34"/>
  <c r="L24" i="34" s="1"/>
  <c r="E24" i="34"/>
  <c r="J24" i="34" s="1"/>
  <c r="D24" i="34"/>
  <c r="I24" i="34" s="1"/>
  <c r="G23" i="34"/>
  <c r="L23" i="34" s="1"/>
  <c r="E23" i="34"/>
  <c r="J23" i="34" s="1"/>
  <c r="D23" i="34"/>
  <c r="I23" i="34" s="1"/>
  <c r="G22" i="34"/>
  <c r="L22" i="34" s="1"/>
  <c r="E22" i="34"/>
  <c r="J22" i="34" s="1"/>
  <c r="D22" i="34"/>
  <c r="I22" i="34" s="1"/>
  <c r="G21" i="34"/>
  <c r="L21" i="34" s="1"/>
  <c r="E21" i="34"/>
  <c r="J21" i="34" s="1"/>
  <c r="D21" i="34"/>
  <c r="I21" i="34" s="1"/>
  <c r="G20" i="34"/>
  <c r="L20" i="34" s="1"/>
  <c r="E20" i="34"/>
  <c r="J20" i="34" s="1"/>
  <c r="D20" i="34"/>
  <c r="I20" i="34" s="1"/>
  <c r="G19" i="34"/>
  <c r="L19" i="34" s="1"/>
  <c r="E19" i="34"/>
  <c r="J19" i="34" s="1"/>
  <c r="D19" i="34"/>
  <c r="I19" i="34" s="1"/>
  <c r="G17" i="34"/>
  <c r="L17" i="34" s="1"/>
  <c r="E17" i="34"/>
  <c r="J17" i="34" s="1"/>
  <c r="D17" i="34"/>
  <c r="I17" i="34" s="1"/>
  <c r="G16" i="34"/>
  <c r="L16" i="34" s="1"/>
  <c r="E16" i="34"/>
  <c r="J16" i="34" s="1"/>
  <c r="D16" i="34"/>
  <c r="I16" i="34" s="1"/>
  <c r="G15" i="34"/>
  <c r="L15" i="34" s="1"/>
  <c r="E15" i="34"/>
  <c r="J15" i="34" s="1"/>
  <c r="D15" i="34"/>
  <c r="I15" i="34" s="1"/>
  <c r="G14" i="34"/>
  <c r="L14" i="34" s="1"/>
  <c r="E14" i="34"/>
  <c r="J14" i="34" s="1"/>
  <c r="D14" i="34"/>
  <c r="I14" i="34" s="1"/>
  <c r="G13" i="34"/>
  <c r="L13" i="34" s="1"/>
  <c r="E13" i="34"/>
  <c r="J13" i="34" s="1"/>
  <c r="D13" i="34"/>
  <c r="I13" i="34" s="1"/>
  <c r="G12" i="34"/>
  <c r="L12" i="34" s="1"/>
  <c r="E12" i="34"/>
  <c r="J12" i="34" s="1"/>
  <c r="D12" i="34"/>
  <c r="I12" i="34" s="1"/>
  <c r="G11" i="34"/>
  <c r="L11" i="34" s="1"/>
  <c r="E11" i="34"/>
  <c r="J11" i="34" s="1"/>
  <c r="D11" i="34"/>
  <c r="I11" i="34" s="1"/>
  <c r="G10" i="34"/>
  <c r="L10" i="34" s="1"/>
  <c r="E10" i="34"/>
  <c r="J10" i="34" s="1"/>
  <c r="D10" i="34"/>
  <c r="I10" i="34" s="1"/>
  <c r="G9" i="34"/>
  <c r="L9" i="34" s="1"/>
  <c r="E9" i="34"/>
  <c r="J9" i="34" s="1"/>
  <c r="D9" i="34"/>
  <c r="I9" i="34" s="1"/>
  <c r="G8" i="34"/>
  <c r="L8" i="34" s="1"/>
  <c r="E8" i="34"/>
  <c r="J8" i="34" s="1"/>
  <c r="D8" i="34"/>
  <c r="I8" i="34" s="1"/>
  <c r="F8" i="34" l="1"/>
  <c r="K8" i="34" s="1"/>
  <c r="F9" i="34"/>
  <c r="K9" i="34" s="1"/>
  <c r="F10" i="34"/>
  <c r="K10" i="34" s="1"/>
  <c r="F11" i="34"/>
  <c r="K11" i="34" s="1"/>
  <c r="F12" i="34"/>
  <c r="K12" i="34" s="1"/>
  <c r="F13" i="34"/>
  <c r="K13" i="34" s="1"/>
  <c r="F14" i="34"/>
  <c r="K14" i="34" s="1"/>
  <c r="F15" i="34"/>
  <c r="K15" i="34" s="1"/>
  <c r="F16" i="34"/>
  <c r="K16" i="34" s="1"/>
  <c r="F17" i="34"/>
  <c r="K17" i="34" s="1"/>
  <c r="F19" i="34"/>
  <c r="K19" i="34" s="1"/>
  <c r="F20" i="34"/>
  <c r="K20" i="34" s="1"/>
  <c r="F21" i="34"/>
  <c r="K21" i="34" s="1"/>
  <c r="F22" i="34"/>
  <c r="K22" i="34" s="1"/>
  <c r="F23" i="34"/>
  <c r="K23" i="34" s="1"/>
  <c r="F24" i="34"/>
  <c r="K24" i="34" s="1"/>
  <c r="F26" i="34"/>
  <c r="K26" i="34" s="1"/>
  <c r="F27" i="34"/>
  <c r="K27" i="34" s="1"/>
  <c r="F28" i="34"/>
  <c r="K28" i="34" s="1"/>
  <c r="F29" i="34"/>
  <c r="K29" i="34" s="1"/>
  <c r="F30" i="34"/>
  <c r="K30" i="34" s="1"/>
  <c r="F32" i="34"/>
  <c r="K32" i="34" s="1"/>
  <c r="F33" i="34"/>
  <c r="K33" i="34" s="1"/>
  <c r="F34" i="34"/>
  <c r="K34" i="34" s="1"/>
  <c r="F35" i="34"/>
  <c r="K35" i="34" s="1"/>
  <c r="F36" i="34"/>
  <c r="K36" i="34" s="1"/>
  <c r="F37" i="34"/>
  <c r="K37" i="34" s="1"/>
  <c r="F38" i="34"/>
  <c r="K38" i="34" s="1"/>
  <c r="F39" i="34"/>
  <c r="K39" i="34" s="1"/>
  <c r="F40" i="34"/>
  <c r="K40" i="34" s="1"/>
  <c r="F41" i="34"/>
  <c r="K41" i="34" s="1"/>
  <c r="F42" i="34"/>
  <c r="K42" i="34" s="1"/>
  <c r="F43" i="34"/>
  <c r="K43" i="34" s="1"/>
  <c r="F44" i="34"/>
  <c r="K44" i="34" s="1"/>
  <c r="F45" i="34"/>
  <c r="K45" i="34" s="1"/>
  <c r="F47" i="34"/>
  <c r="K47" i="34" s="1"/>
  <c r="F48" i="34"/>
  <c r="K48" i="34" s="1"/>
  <c r="F49" i="34"/>
  <c r="K49" i="34" s="1"/>
  <c r="F50" i="34"/>
  <c r="K50" i="34" s="1"/>
  <c r="F51" i="34"/>
  <c r="K51" i="34" s="1"/>
  <c r="F52" i="34"/>
  <c r="K52" i="34" s="1"/>
  <c r="F53" i="34"/>
  <c r="K53" i="34" s="1"/>
  <c r="F54" i="34"/>
  <c r="K54" i="34" s="1"/>
  <c r="F55" i="34"/>
  <c r="K55" i="34" s="1"/>
  <c r="F56" i="34"/>
  <c r="K56" i="34" s="1"/>
  <c r="F57" i="34"/>
  <c r="K57" i="34" s="1"/>
  <c r="F59" i="34"/>
  <c r="K59" i="34" s="1"/>
  <c r="L59" i="34" l="1"/>
  <c r="L58" i="34" l="1"/>
  <c r="I7" i="34"/>
  <c r="I58" i="34"/>
  <c r="L18" i="34"/>
  <c r="L31" i="34"/>
  <c r="L46" i="34"/>
  <c r="I46" i="34"/>
  <c r="I25" i="34"/>
  <c r="I31" i="34"/>
  <c r="I18" i="34"/>
  <c r="M8" i="34" l="1"/>
  <c r="J58" i="34"/>
  <c r="J7" i="34"/>
  <c r="J25" i="34"/>
  <c r="J18" i="34"/>
  <c r="J31" i="34"/>
  <c r="J46" i="34"/>
  <c r="I60" i="34"/>
  <c r="J60" i="34" l="1"/>
  <c r="H55" i="34" l="1"/>
  <c r="H54" i="34"/>
  <c r="H41" i="34"/>
  <c r="H38" i="34"/>
  <c r="H36" i="34"/>
  <c r="H34" i="34"/>
  <c r="H15" i="34"/>
  <c r="H8" i="34"/>
  <c r="N8" i="34" s="1"/>
  <c r="H28" i="34" l="1"/>
  <c r="H43" i="34"/>
  <c r="H45" i="34"/>
  <c r="H9" i="34"/>
  <c r="H51" i="34"/>
  <c r="H59" i="34"/>
  <c r="H27" i="34"/>
  <c r="H44" i="34"/>
  <c r="H47" i="34"/>
  <c r="H33" i="34"/>
  <c r="H35" i="34"/>
  <c r="H37" i="34"/>
  <c r="H30" i="34"/>
  <c r="H50" i="34"/>
  <c r="H52" i="34"/>
  <c r="H22" i="34"/>
  <c r="E7" i="34"/>
  <c r="F7" i="34"/>
  <c r="E31" i="34"/>
  <c r="F18" i="34"/>
  <c r="E25" i="34"/>
  <c r="F31" i="34"/>
  <c r="E46" i="34"/>
  <c r="D58" i="34"/>
  <c r="E58" i="34"/>
  <c r="F58" i="34"/>
  <c r="G58" i="34"/>
  <c r="F25" i="34"/>
  <c r="E18" i="34"/>
  <c r="F46" i="34"/>
  <c r="H58" i="34" l="1"/>
  <c r="F60" i="34"/>
  <c r="E60" i="34"/>
  <c r="H57" i="34" l="1"/>
  <c r="H20" i="34"/>
  <c r="H24" i="34"/>
  <c r="H32" i="34"/>
  <c r="H49" i="34" l="1"/>
  <c r="H53" i="34"/>
  <c r="H48" i="34"/>
  <c r="H23" i="34"/>
  <c r="H19" i="34"/>
  <c r="H42" i="34"/>
  <c r="H40" i="34"/>
  <c r="H13" i="34"/>
  <c r="H14" i="34"/>
  <c r="D46" i="34"/>
  <c r="F26" i="31"/>
  <c r="F45" i="31" s="1"/>
  <c r="D26" i="31"/>
  <c r="D45" i="31" s="1"/>
  <c r="H26" i="34" l="1"/>
  <c r="H12" i="34"/>
  <c r="H11" i="34"/>
  <c r="L25" i="34"/>
  <c r="H16" i="34"/>
  <c r="H10" i="34"/>
  <c r="L7" i="34"/>
  <c r="H29" i="34"/>
  <c r="H56" i="34"/>
  <c r="D18" i="34"/>
  <c r="H21" i="34"/>
  <c r="H17" i="34"/>
  <c r="D31" i="34"/>
  <c r="H39" i="34"/>
  <c r="G7" i="34"/>
  <c r="G46" i="34"/>
  <c r="H46" i="34" s="1"/>
  <c r="D7" i="34"/>
  <c r="D25" i="34"/>
  <c r="G18" i="34"/>
  <c r="G31" i="34"/>
  <c r="G25" i="34"/>
  <c r="L60" i="34" l="1"/>
  <c r="H25" i="34"/>
  <c r="H31" i="34"/>
  <c r="H18" i="34"/>
  <c r="G60" i="34"/>
  <c r="D60" i="34"/>
  <c r="H60" i="34" l="1"/>
  <c r="H7" i="34"/>
  <c r="N41" i="28" l="1"/>
  <c r="N40" i="28" s="1"/>
  <c r="N51" i="28" s="1"/>
  <c r="I50" i="26" l="1"/>
  <c r="I49" i="26"/>
  <c r="I48" i="26"/>
  <c r="I47" i="26"/>
  <c r="I46" i="26"/>
  <c r="I45" i="26"/>
  <c r="I44" i="26"/>
  <c r="I43" i="26"/>
  <c r="I41" i="26"/>
  <c r="I40" i="26"/>
  <c r="I39" i="26"/>
  <c r="I38" i="26"/>
  <c r="I37" i="26"/>
  <c r="I36" i="26"/>
  <c r="I35" i="26"/>
  <c r="I34" i="26"/>
  <c r="I33" i="26"/>
  <c r="I32" i="26"/>
  <c r="I31" i="26"/>
  <c r="I30" i="26"/>
  <c r="I29" i="26"/>
  <c r="I28" i="26"/>
  <c r="I27" i="26"/>
  <c r="I25" i="26"/>
  <c r="I24" i="26"/>
  <c r="I22" i="26"/>
  <c r="I21" i="26"/>
  <c r="I20" i="26"/>
  <c r="I19" i="26"/>
  <c r="I18" i="26"/>
  <c r="I17" i="26"/>
  <c r="I15" i="26"/>
  <c r="I14" i="26"/>
  <c r="I13" i="26"/>
  <c r="I12" i="26"/>
  <c r="I11" i="26"/>
  <c r="I10" i="26"/>
  <c r="I9" i="26"/>
  <c r="I8" i="26"/>
  <c r="I7" i="26"/>
  <c r="I6" i="26"/>
  <c r="H52" i="26"/>
  <c r="H50" i="26"/>
  <c r="H49" i="26"/>
  <c r="H48" i="26"/>
  <c r="H47" i="26"/>
  <c r="H46" i="26"/>
  <c r="H45" i="26"/>
  <c r="H44" i="26"/>
  <c r="H43" i="26"/>
  <c r="H41" i="26"/>
  <c r="H40" i="26"/>
  <c r="H39" i="26"/>
  <c r="H38" i="26"/>
  <c r="H37" i="26"/>
  <c r="H36" i="26"/>
  <c r="H35" i="26"/>
  <c r="H34" i="26"/>
  <c r="H33" i="26"/>
  <c r="H32" i="26"/>
  <c r="H31" i="26"/>
  <c r="H30" i="26"/>
  <c r="H29" i="26"/>
  <c r="H28" i="26"/>
  <c r="H27" i="26"/>
  <c r="H25" i="26"/>
  <c r="H24" i="26"/>
  <c r="H22" i="26"/>
  <c r="H21" i="26"/>
  <c r="H20" i="26"/>
  <c r="H19" i="26"/>
  <c r="H18" i="26"/>
  <c r="H17" i="26"/>
  <c r="H15" i="26"/>
  <c r="H14" i="26"/>
  <c r="H13" i="26"/>
  <c r="H12" i="26"/>
  <c r="H11" i="26"/>
  <c r="H10" i="26"/>
  <c r="H9" i="26"/>
  <c r="H8" i="26"/>
  <c r="H7" i="26"/>
  <c r="H6" i="26"/>
  <c r="G50" i="26"/>
  <c r="Y50" i="26" s="1"/>
  <c r="G49" i="26"/>
  <c r="Y49" i="26" s="1"/>
  <c r="G48" i="26"/>
  <c r="Y48" i="26" s="1"/>
  <c r="G47" i="26"/>
  <c r="Y47" i="26" s="1"/>
  <c r="G46" i="26"/>
  <c r="Y46" i="26" s="1"/>
  <c r="G45" i="26"/>
  <c r="Y45" i="26" s="1"/>
  <c r="G44" i="26"/>
  <c r="Y44" i="26" s="1"/>
  <c r="G43" i="26"/>
  <c r="Y43" i="26" s="1"/>
  <c r="G41" i="26"/>
  <c r="Y41" i="26" s="1"/>
  <c r="G40" i="26"/>
  <c r="Y40" i="26" s="1"/>
  <c r="G39" i="26"/>
  <c r="Y39" i="26" s="1"/>
  <c r="G38" i="26"/>
  <c r="Y38" i="26" s="1"/>
  <c r="G37" i="26"/>
  <c r="Y37" i="26" s="1"/>
  <c r="G36" i="26"/>
  <c r="Y36" i="26" s="1"/>
  <c r="G35" i="26"/>
  <c r="Y35" i="26" s="1"/>
  <c r="G34" i="26"/>
  <c r="Y34" i="26" s="1"/>
  <c r="G33" i="26"/>
  <c r="Y33" i="26" s="1"/>
  <c r="G32" i="26"/>
  <c r="Y32" i="26" s="1"/>
  <c r="G31" i="26"/>
  <c r="Y31" i="26" s="1"/>
  <c r="G30" i="26"/>
  <c r="Y30" i="26" s="1"/>
  <c r="G29" i="26"/>
  <c r="Y29" i="26" s="1"/>
  <c r="G28" i="26"/>
  <c r="Y28" i="26" s="1"/>
  <c r="G27" i="26"/>
  <c r="Y27" i="26" s="1"/>
  <c r="G25" i="26"/>
  <c r="Y25" i="26" s="1"/>
  <c r="G24" i="26"/>
  <c r="Y24" i="26" s="1"/>
  <c r="G22" i="26"/>
  <c r="Y22" i="26" s="1"/>
  <c r="G21" i="26"/>
  <c r="Y21" i="26" s="1"/>
  <c r="G20" i="26"/>
  <c r="Y20" i="26" s="1"/>
  <c r="G19" i="26"/>
  <c r="Y19" i="26" s="1"/>
  <c r="G18" i="26"/>
  <c r="Y18" i="26" s="1"/>
  <c r="G17" i="26"/>
  <c r="Y17" i="26" s="1"/>
  <c r="G15" i="26"/>
  <c r="Y15" i="26" s="1"/>
  <c r="G14" i="26"/>
  <c r="Y14" i="26" s="1"/>
  <c r="G13" i="26"/>
  <c r="Y13" i="26" s="1"/>
  <c r="G12" i="26"/>
  <c r="Y12" i="26" s="1"/>
  <c r="G11" i="26"/>
  <c r="Y11" i="26" s="1"/>
  <c r="G10" i="26"/>
  <c r="Y10" i="26" s="1"/>
  <c r="G9" i="26"/>
  <c r="Y9" i="26" s="1"/>
  <c r="G8" i="26"/>
  <c r="Y8" i="26" s="1"/>
  <c r="G7" i="26"/>
  <c r="Y7" i="26" s="1"/>
  <c r="G6" i="26"/>
  <c r="Y6" i="26" s="1"/>
  <c r="M52" i="26"/>
  <c r="K52" i="26"/>
  <c r="J52" i="26"/>
  <c r="E52" i="26"/>
  <c r="N50" i="26"/>
  <c r="K50" i="26"/>
  <c r="J50" i="26"/>
  <c r="N49" i="26"/>
  <c r="M49" i="26"/>
  <c r="L49" i="26"/>
  <c r="K49" i="26"/>
  <c r="J49" i="26"/>
  <c r="F49" i="26"/>
  <c r="E49" i="26"/>
  <c r="N48" i="26"/>
  <c r="K48" i="26"/>
  <c r="J48" i="26"/>
  <c r="F48" i="26"/>
  <c r="E48" i="26"/>
  <c r="M47" i="26"/>
  <c r="K47" i="26"/>
  <c r="F47" i="26"/>
  <c r="E47" i="26"/>
  <c r="D47" i="26"/>
  <c r="N46" i="26"/>
  <c r="M46" i="26"/>
  <c r="K46" i="26"/>
  <c r="J46" i="26"/>
  <c r="F46" i="26"/>
  <c r="E46" i="26"/>
  <c r="D46" i="26"/>
  <c r="N45" i="26"/>
  <c r="M45" i="26"/>
  <c r="K45" i="26"/>
  <c r="F45" i="26"/>
  <c r="E45" i="26"/>
  <c r="D45" i="26"/>
  <c r="K44" i="26"/>
  <c r="J44" i="26"/>
  <c r="F44" i="26"/>
  <c r="E44" i="26"/>
  <c r="Q43" i="26"/>
  <c r="N43" i="26"/>
  <c r="M43" i="26"/>
  <c r="L43" i="26"/>
  <c r="K43" i="26"/>
  <c r="F43" i="26"/>
  <c r="E43" i="26"/>
  <c r="D43" i="26"/>
  <c r="F41" i="26"/>
  <c r="E41" i="26"/>
  <c r="D41" i="26"/>
  <c r="N40" i="26"/>
  <c r="J40" i="26"/>
  <c r="F40" i="26"/>
  <c r="E40" i="26"/>
  <c r="D40" i="26"/>
  <c r="N39" i="26"/>
  <c r="J39" i="26"/>
  <c r="F39" i="26"/>
  <c r="E39" i="26"/>
  <c r="D39" i="26"/>
  <c r="K38" i="26"/>
  <c r="J38" i="26"/>
  <c r="F38" i="26"/>
  <c r="E38" i="26"/>
  <c r="D38" i="26"/>
  <c r="Q37" i="26"/>
  <c r="P37" i="26" s="1"/>
  <c r="N37" i="26"/>
  <c r="F37" i="26"/>
  <c r="E37" i="26"/>
  <c r="D37" i="26"/>
  <c r="Q36" i="26"/>
  <c r="P36" i="26" s="1"/>
  <c r="N36" i="26"/>
  <c r="J36" i="26"/>
  <c r="F36" i="26"/>
  <c r="E36" i="26"/>
  <c r="D36" i="26"/>
  <c r="N35" i="26"/>
  <c r="K35" i="26"/>
  <c r="E35" i="26"/>
  <c r="Q34" i="26"/>
  <c r="N34" i="26"/>
  <c r="K34" i="26"/>
  <c r="F34" i="26"/>
  <c r="E34" i="26"/>
  <c r="Q33" i="26"/>
  <c r="P33" i="26" s="1"/>
  <c r="N33" i="26"/>
  <c r="K33" i="26"/>
  <c r="J33" i="26"/>
  <c r="F33" i="26"/>
  <c r="E33" i="26"/>
  <c r="D33" i="26"/>
  <c r="N32" i="26"/>
  <c r="J32" i="26"/>
  <c r="F32" i="26"/>
  <c r="E32" i="26"/>
  <c r="D32" i="26"/>
  <c r="Q31" i="26"/>
  <c r="P31" i="26" s="1"/>
  <c r="N31" i="26"/>
  <c r="J31" i="26"/>
  <c r="F31" i="26"/>
  <c r="E31" i="26"/>
  <c r="D31" i="26"/>
  <c r="N30" i="26"/>
  <c r="J30" i="26"/>
  <c r="F30" i="26"/>
  <c r="E30" i="26"/>
  <c r="D30" i="26"/>
  <c r="K29" i="26"/>
  <c r="J29" i="26"/>
  <c r="F29" i="26"/>
  <c r="E29" i="26"/>
  <c r="Q28" i="26"/>
  <c r="P28" i="26" s="1"/>
  <c r="N28" i="26"/>
  <c r="L28" i="26"/>
  <c r="J28" i="26"/>
  <c r="F28" i="26"/>
  <c r="E28" i="26"/>
  <c r="D28" i="26"/>
  <c r="N27" i="26"/>
  <c r="K27" i="26"/>
  <c r="F27" i="26"/>
  <c r="E27" i="26"/>
  <c r="N25" i="26"/>
  <c r="K25" i="26"/>
  <c r="F25" i="26"/>
  <c r="E25" i="26"/>
  <c r="M24" i="26"/>
  <c r="K24" i="26"/>
  <c r="J24" i="26"/>
  <c r="F24" i="26"/>
  <c r="E24" i="26"/>
  <c r="K22" i="26"/>
  <c r="J22" i="26"/>
  <c r="F22" i="26"/>
  <c r="E22" i="26"/>
  <c r="N21" i="26"/>
  <c r="F21" i="26"/>
  <c r="E21" i="26"/>
  <c r="D21" i="26"/>
  <c r="N20" i="26"/>
  <c r="F20" i="26"/>
  <c r="E20" i="26"/>
  <c r="D20" i="26"/>
  <c r="N19" i="26"/>
  <c r="K19" i="26"/>
  <c r="J19" i="26"/>
  <c r="E19" i="26"/>
  <c r="F18" i="26"/>
  <c r="E18" i="26"/>
  <c r="D18" i="26"/>
  <c r="K17" i="26"/>
  <c r="F17" i="26"/>
  <c r="E17" i="26"/>
  <c r="K15" i="26"/>
  <c r="F15" i="26"/>
  <c r="E15" i="26"/>
  <c r="Q14" i="26"/>
  <c r="P14" i="26" s="1"/>
  <c r="N14" i="26"/>
  <c r="M14" i="26"/>
  <c r="K14" i="26"/>
  <c r="J14" i="26"/>
  <c r="F14" i="26"/>
  <c r="E14" i="26"/>
  <c r="D14" i="26"/>
  <c r="Q13" i="26"/>
  <c r="N13" i="26"/>
  <c r="J13" i="26"/>
  <c r="F13" i="26"/>
  <c r="E13" i="26"/>
  <c r="D13" i="26"/>
  <c r="K12" i="26"/>
  <c r="F12" i="26"/>
  <c r="E12" i="26"/>
  <c r="M11" i="26"/>
  <c r="F11" i="26"/>
  <c r="E11" i="26"/>
  <c r="K10" i="26"/>
  <c r="J10" i="26"/>
  <c r="F10" i="26"/>
  <c r="E10" i="26"/>
  <c r="M9" i="26"/>
  <c r="K9" i="26"/>
  <c r="J9" i="26"/>
  <c r="F9" i="26"/>
  <c r="E9" i="26"/>
  <c r="Q8" i="26"/>
  <c r="P8" i="26" s="1"/>
  <c r="N8" i="26"/>
  <c r="M8" i="26"/>
  <c r="K8" i="26"/>
  <c r="J8" i="26"/>
  <c r="F8" i="26"/>
  <c r="E8" i="26"/>
  <c r="D8" i="26"/>
  <c r="Q7" i="26"/>
  <c r="N7" i="26"/>
  <c r="K7" i="26"/>
  <c r="J7" i="26"/>
  <c r="F7" i="26"/>
  <c r="E7" i="26"/>
  <c r="N6" i="26"/>
  <c r="M6" i="26"/>
  <c r="J6" i="26"/>
  <c r="F6" i="26"/>
  <c r="E6" i="26"/>
  <c r="O44" i="28"/>
  <c r="O32" i="28"/>
  <c r="O12" i="28"/>
  <c r="Q38" i="26"/>
  <c r="N9" i="26"/>
  <c r="N41" i="26"/>
  <c r="N29" i="26"/>
  <c r="Q27" i="26"/>
  <c r="P44" i="28"/>
  <c r="L40" i="26"/>
  <c r="Q46" i="26"/>
  <c r="P46" i="26" s="1"/>
  <c r="N47" i="26"/>
  <c r="N22" i="26"/>
  <c r="Q20" i="26"/>
  <c r="L37" i="26"/>
  <c r="L30" i="26"/>
  <c r="Q11" i="26"/>
  <c r="P11" i="26" s="1"/>
  <c r="Q39" i="26"/>
  <c r="L33" i="26"/>
  <c r="Q40" i="26"/>
  <c r="P40" i="26" s="1"/>
  <c r="L36" i="26" l="1"/>
  <c r="L31" i="26"/>
  <c r="L46" i="26"/>
  <c r="L39" i="26"/>
  <c r="N15" i="26"/>
  <c r="L29" i="26"/>
  <c r="Q30" i="26"/>
  <c r="P30" i="26" s="1"/>
  <c r="Q41" i="26"/>
  <c r="P41" i="26" s="1"/>
  <c r="L27" i="26"/>
  <c r="L41" i="26"/>
  <c r="L45" i="26"/>
  <c r="D6" i="26"/>
  <c r="P43" i="28"/>
  <c r="J37" i="26"/>
  <c r="M37" i="26"/>
  <c r="N17" i="26"/>
  <c r="F19" i="26"/>
  <c r="P12" i="28"/>
  <c r="M50" i="26"/>
  <c r="D11" i="26"/>
  <c r="F50" i="26"/>
  <c r="M18" i="26"/>
  <c r="L38" i="26"/>
  <c r="M27" i="26"/>
  <c r="Q45" i="26"/>
  <c r="P45" i="26" s="1"/>
  <c r="Q50" i="26"/>
  <c r="P50" i="26" s="1"/>
  <c r="Q47" i="26"/>
  <c r="P47" i="26" s="1"/>
  <c r="Q32" i="26"/>
  <c r="P32" i="26" s="1"/>
  <c r="N38" i="26"/>
  <c r="M7" i="26"/>
  <c r="Q17" i="26"/>
  <c r="P17" i="26" s="1"/>
  <c r="N12" i="26"/>
  <c r="E50" i="26"/>
  <c r="M12" i="26"/>
  <c r="M38" i="26"/>
  <c r="M35" i="26"/>
  <c r="M34" i="26"/>
  <c r="M13" i="26"/>
  <c r="F35" i="26"/>
  <c r="M15" i="26"/>
  <c r="K21" i="26"/>
  <c r="D34" i="26"/>
  <c r="J27" i="26"/>
  <c r="O31" i="28"/>
  <c r="M48" i="26"/>
  <c r="Q49" i="26"/>
  <c r="P49" i="26" s="1"/>
  <c r="L32" i="26"/>
  <c r="N10" i="26"/>
  <c r="D27" i="26"/>
  <c r="O34" i="28"/>
  <c r="Q6" i="26"/>
  <c r="P6" i="26" s="1"/>
  <c r="M22" i="26"/>
  <c r="M36" i="26"/>
  <c r="M17" i="26"/>
  <c r="L50" i="26"/>
  <c r="P31" i="28"/>
  <c r="K18" i="26"/>
  <c r="J41" i="26"/>
  <c r="O28" i="28"/>
  <c r="O30" i="28"/>
  <c r="O25" i="28"/>
  <c r="P6" i="28"/>
  <c r="M44" i="26"/>
  <c r="M28" i="26"/>
  <c r="K32" i="26"/>
  <c r="M21" i="26"/>
  <c r="G52" i="26"/>
  <c r="Y52" i="26" s="1"/>
  <c r="N11" i="26"/>
  <c r="Q9" i="26"/>
  <c r="P9" i="26" s="1"/>
  <c r="Q35" i="26"/>
  <c r="P35" i="26" s="1"/>
  <c r="M19" i="26"/>
  <c r="M30" i="26"/>
  <c r="M10" i="26"/>
  <c r="Q29" i="26"/>
  <c r="P29" i="26" s="1"/>
  <c r="P7" i="26"/>
  <c r="M39" i="26"/>
  <c r="P34" i="26"/>
  <c r="P38" i="26"/>
  <c r="K30" i="26"/>
  <c r="L34" i="26"/>
  <c r="Q21" i="26"/>
  <c r="P21" i="26" s="1"/>
  <c r="M29" i="26"/>
  <c r="K37" i="26"/>
  <c r="J12" i="26"/>
  <c r="D22" i="26"/>
  <c r="L35" i="26"/>
  <c r="M25" i="26"/>
  <c r="M32" i="26"/>
  <c r="Q25" i="26"/>
  <c r="P25" i="26" s="1"/>
  <c r="I52" i="26"/>
  <c r="J18" i="26"/>
  <c r="G23" i="26"/>
  <c r="Y23" i="26" s="1"/>
  <c r="Q19" i="26"/>
  <c r="P19" i="26" s="1"/>
  <c r="L47" i="26"/>
  <c r="K39" i="26"/>
  <c r="G16" i="26"/>
  <c r="Y16" i="26" s="1"/>
  <c r="J47" i="26"/>
  <c r="G26" i="26"/>
  <c r="Y26" i="26" s="1"/>
  <c r="G42" i="26"/>
  <c r="Y42" i="26" s="1"/>
  <c r="D52" i="26"/>
  <c r="Q10" i="26"/>
  <c r="P10" i="26" s="1"/>
  <c r="D50" i="26"/>
  <c r="Q15" i="26"/>
  <c r="P15" i="26" s="1"/>
  <c r="K40" i="26"/>
  <c r="J35" i="26"/>
  <c r="D49" i="26"/>
  <c r="L48" i="26"/>
  <c r="K31" i="26"/>
  <c r="G5" i="26"/>
  <c r="F52" i="26"/>
  <c r="J43" i="26"/>
  <c r="J15" i="26"/>
  <c r="J17" i="26"/>
  <c r="M40" i="26"/>
  <c r="O47" i="28"/>
  <c r="L22" i="26"/>
  <c r="D44" i="26"/>
  <c r="J20" i="26"/>
  <c r="P43" i="26"/>
  <c r="Q52" i="26"/>
  <c r="P52" i="26" s="1"/>
  <c r="D9" i="26"/>
  <c r="L20" i="26"/>
  <c r="Q22" i="26"/>
  <c r="P22" i="26" s="1"/>
  <c r="M20" i="26"/>
  <c r="L15" i="26"/>
  <c r="J25" i="26"/>
  <c r="L12" i="26"/>
  <c r="D48" i="26"/>
  <c r="D12" i="26"/>
  <c r="L10" i="26"/>
  <c r="Q12" i="26"/>
  <c r="P12" i="26" s="1"/>
  <c r="K13" i="26"/>
  <c r="P13" i="26"/>
  <c r="J34" i="26"/>
  <c r="N44" i="26"/>
  <c r="L44" i="26"/>
  <c r="L7" i="26"/>
  <c r="Q44" i="26"/>
  <c r="P44" i="26" s="1"/>
  <c r="N52" i="26"/>
  <c r="Q48" i="26"/>
  <c r="P48" i="26" s="1"/>
  <c r="L13" i="26"/>
  <c r="D24" i="26"/>
  <c r="D15" i="26"/>
  <c r="J21" i="26"/>
  <c r="L18" i="26"/>
  <c r="P20" i="26"/>
  <c r="N24" i="26"/>
  <c r="L21" i="26"/>
  <c r="D7" i="26"/>
  <c r="L24" i="26"/>
  <c r="M31" i="26"/>
  <c r="J11" i="26"/>
  <c r="D17" i="26"/>
  <c r="K6" i="26"/>
  <c r="L6" i="26"/>
  <c r="L9" i="26"/>
  <c r="K20" i="26"/>
  <c r="D19" i="26"/>
  <c r="K11" i="26"/>
  <c r="L17" i="26"/>
  <c r="D25" i="26"/>
  <c r="L25" i="26"/>
  <c r="L19" i="26"/>
  <c r="L52" i="26"/>
  <c r="L11" i="26"/>
  <c r="K36" i="26"/>
  <c r="Q24" i="26"/>
  <c r="P24" i="26" s="1"/>
  <c r="N18" i="26"/>
  <c r="K28" i="26"/>
  <c r="K41" i="26"/>
  <c r="D35" i="26"/>
  <c r="M41" i="26"/>
  <c r="D10" i="26"/>
  <c r="O39" i="28"/>
  <c r="P27" i="28"/>
  <c r="Q18" i="26"/>
  <c r="P18" i="26" s="1"/>
  <c r="P27" i="26"/>
  <c r="L14" i="26"/>
  <c r="P39" i="26"/>
  <c r="M33" i="26"/>
  <c r="L8" i="26"/>
  <c r="D29" i="26"/>
  <c r="J45" i="26"/>
  <c r="O41" i="28"/>
  <c r="O5" i="28"/>
  <c r="O9" i="28"/>
  <c r="O46" i="28"/>
  <c r="O23" i="28"/>
  <c r="O26" i="28"/>
  <c r="O36" i="28"/>
  <c r="O29" i="28"/>
  <c r="O38" i="28"/>
  <c r="P38" i="28"/>
  <c r="O48" i="28"/>
  <c r="P20" i="28"/>
  <c r="P46" i="28"/>
  <c r="P42" i="28"/>
  <c r="P30" i="28"/>
  <c r="P18" i="28"/>
  <c r="P13" i="28"/>
  <c r="P23" i="28"/>
  <c r="P7" i="28"/>
  <c r="P35" i="28"/>
  <c r="O37" i="28"/>
  <c r="O20" i="28"/>
  <c r="O17" i="28"/>
  <c r="O22" i="28"/>
  <c r="O4" i="28"/>
  <c r="O8" i="28"/>
  <c r="O43" i="28"/>
  <c r="O35" i="28"/>
  <c r="P10" i="28"/>
  <c r="P22" i="28"/>
  <c r="P17" i="28"/>
  <c r="P8" i="28"/>
  <c r="P16" i="28"/>
  <c r="P36" i="28"/>
  <c r="O10" i="28"/>
  <c r="O7" i="28"/>
  <c r="O13" i="28"/>
  <c r="O15" i="28"/>
  <c r="O42" i="28"/>
  <c r="O6" i="28"/>
  <c r="O11" i="28"/>
  <c r="P50" i="28"/>
  <c r="P49" i="28" s="1"/>
  <c r="P9" i="28"/>
  <c r="P32" i="28"/>
  <c r="P34" i="28"/>
  <c r="P26" i="28"/>
  <c r="P39" i="28"/>
  <c r="O50" i="28"/>
  <c r="O49" i="28" s="1"/>
  <c r="O45" i="28"/>
  <c r="O19" i="28"/>
  <c r="O33" i="28"/>
  <c r="P5" i="28"/>
  <c r="P48" i="28"/>
  <c r="P11" i="28"/>
  <c r="P25" i="28"/>
  <c r="O18" i="28"/>
  <c r="O16" i="28"/>
  <c r="P47" i="28"/>
  <c r="P15" i="28"/>
  <c r="P33" i="28"/>
  <c r="P28" i="28"/>
  <c r="P41" i="28"/>
  <c r="P45" i="28"/>
  <c r="P37" i="28"/>
  <c r="P29" i="28"/>
  <c r="O27" i="28"/>
  <c r="P19" i="28"/>
  <c r="P4" i="28"/>
  <c r="G51" i="26" l="1"/>
  <c r="Y51" i="26" s="1"/>
  <c r="P21" i="28"/>
  <c r="Y5" i="26"/>
  <c r="O21" i="28"/>
  <c r="O24" i="28"/>
  <c r="O40" i="28"/>
  <c r="P14" i="28"/>
  <c r="P24" i="28"/>
  <c r="P40" i="28"/>
  <c r="P3" i="28"/>
  <c r="O3" i="28"/>
  <c r="O14" i="28"/>
  <c r="AH33" i="26"/>
  <c r="AF33" i="26"/>
  <c r="AE33" i="26"/>
  <c r="AD33" i="26"/>
  <c r="AC33" i="26"/>
  <c r="AB33" i="26"/>
  <c r="AA33" i="26"/>
  <c r="Z33" i="26"/>
  <c r="X33" i="26"/>
  <c r="W33" i="26"/>
  <c r="L15" i="28"/>
  <c r="L14" i="28" s="1"/>
  <c r="L10" i="28"/>
  <c r="L3" i="28" s="1"/>
  <c r="M49" i="28"/>
  <c r="L49" i="28"/>
  <c r="M40" i="28"/>
  <c r="M24" i="28"/>
  <c r="L24" i="28"/>
  <c r="M21" i="28"/>
  <c r="L21" i="28"/>
  <c r="M14" i="28"/>
  <c r="M3" i="28"/>
  <c r="G53" i="26" l="1"/>
  <c r="Y53" i="26" s="1"/>
  <c r="P51" i="28"/>
  <c r="O51" i="28"/>
  <c r="M51" i="28"/>
  <c r="O33" i="26"/>
  <c r="AG33" i="26" s="1"/>
  <c r="AQ46" i="26" s="1"/>
  <c r="V33" i="26"/>
  <c r="AI33" i="26"/>
  <c r="L47" i="28"/>
  <c r="L40" i="28" s="1"/>
  <c r="L51" i="28" s="1"/>
  <c r="R33" i="26" l="1"/>
  <c r="AJ33" i="26" s="1"/>
  <c r="AM47" i="26" s="1"/>
  <c r="Q26" i="26"/>
  <c r="P26" i="26" l="1"/>
  <c r="L26" i="26"/>
  <c r="E51" i="28" l="1"/>
  <c r="D51" i="28"/>
  <c r="I51" i="26" l="1"/>
  <c r="AA51" i="26" s="1"/>
  <c r="H51" i="26"/>
  <c r="Z51" i="26" s="1"/>
  <c r="F51" i="26"/>
  <c r="X51" i="26" s="1"/>
  <c r="AA50" i="26"/>
  <c r="Z50" i="26"/>
  <c r="X50" i="26"/>
  <c r="AA49" i="26"/>
  <c r="Z49" i="26"/>
  <c r="X49" i="26"/>
  <c r="AA48" i="26"/>
  <c r="Z48" i="26"/>
  <c r="X48" i="26"/>
  <c r="AA47" i="26"/>
  <c r="Z47" i="26"/>
  <c r="X47" i="26"/>
  <c r="AA46" i="26"/>
  <c r="Z46" i="26"/>
  <c r="X46" i="26"/>
  <c r="AA45" i="26"/>
  <c r="Z45" i="26"/>
  <c r="X45" i="26"/>
  <c r="AA44" i="26"/>
  <c r="X44" i="26"/>
  <c r="Z43" i="26"/>
  <c r="AA41" i="26"/>
  <c r="Z41" i="26"/>
  <c r="X41" i="26"/>
  <c r="AA40" i="26"/>
  <c r="Z40" i="26"/>
  <c r="X40" i="26"/>
  <c r="AA39" i="26"/>
  <c r="Z39" i="26"/>
  <c r="X39" i="26"/>
  <c r="AA38" i="26"/>
  <c r="Z38" i="26"/>
  <c r="X38" i="26"/>
  <c r="AA37" i="26"/>
  <c r="Z37" i="26"/>
  <c r="X37" i="26"/>
  <c r="AA36" i="26"/>
  <c r="Z36" i="26"/>
  <c r="X36" i="26"/>
  <c r="AA35" i="26"/>
  <c r="Z35" i="26"/>
  <c r="X35" i="26"/>
  <c r="AA34" i="26"/>
  <c r="Z34" i="26"/>
  <c r="X34" i="26"/>
  <c r="AA32" i="26"/>
  <c r="Z32" i="26"/>
  <c r="X32" i="26"/>
  <c r="AA31" i="26"/>
  <c r="Z31" i="26"/>
  <c r="X31" i="26"/>
  <c r="AA30" i="26"/>
  <c r="Z30" i="26"/>
  <c r="X30" i="26"/>
  <c r="AA29" i="26"/>
  <c r="Z29" i="26"/>
  <c r="X29" i="26"/>
  <c r="AA28" i="26"/>
  <c r="Z28" i="26"/>
  <c r="X28" i="26"/>
  <c r="AA27" i="26"/>
  <c r="X27" i="26"/>
  <c r="AA25" i="26"/>
  <c r="Z25" i="26"/>
  <c r="X25" i="26"/>
  <c r="AA22" i="26"/>
  <c r="Z22" i="26"/>
  <c r="X22" i="26"/>
  <c r="AA21" i="26"/>
  <c r="Z21" i="26"/>
  <c r="X21" i="26"/>
  <c r="AA20" i="26"/>
  <c r="Z20" i="26"/>
  <c r="X20" i="26"/>
  <c r="AA19" i="26"/>
  <c r="Z19" i="26"/>
  <c r="X19" i="26"/>
  <c r="AA18" i="26"/>
  <c r="Z18" i="26"/>
  <c r="X18" i="26"/>
  <c r="Z17" i="26"/>
  <c r="X17" i="26"/>
  <c r="AA15" i="26"/>
  <c r="Z15" i="26"/>
  <c r="X15" i="26"/>
  <c r="AA14" i="26"/>
  <c r="Z14" i="26"/>
  <c r="X14" i="26"/>
  <c r="AA13" i="26"/>
  <c r="Z13" i="26"/>
  <c r="X13" i="26"/>
  <c r="AA12" i="26"/>
  <c r="Z12" i="26"/>
  <c r="X12" i="26"/>
  <c r="AA11" i="26"/>
  <c r="Z11" i="26"/>
  <c r="X11" i="26"/>
  <c r="AA10" i="26"/>
  <c r="Z10" i="26"/>
  <c r="X10" i="26"/>
  <c r="AA9" i="26"/>
  <c r="Z9" i="26"/>
  <c r="X9" i="26"/>
  <c r="AA8" i="26"/>
  <c r="Z8" i="26"/>
  <c r="X8" i="26"/>
  <c r="AA7" i="26"/>
  <c r="Z7" i="26"/>
  <c r="X7" i="26"/>
  <c r="F5" i="26" l="1"/>
  <c r="X5" i="26" s="1"/>
  <c r="I16" i="26"/>
  <c r="AA16" i="26" s="1"/>
  <c r="F23" i="26"/>
  <c r="X23" i="26" s="1"/>
  <c r="H5" i="26"/>
  <c r="Z5" i="26" s="1"/>
  <c r="H23" i="26"/>
  <c r="Z23" i="26" s="1"/>
  <c r="AA52" i="26"/>
  <c r="Z6" i="26"/>
  <c r="I5" i="26"/>
  <c r="AA5" i="26" s="1"/>
  <c r="F16" i="26"/>
  <c r="X16" i="26" s="1"/>
  <c r="I23" i="26"/>
  <c r="AA23" i="26" s="1"/>
  <c r="I42" i="26"/>
  <c r="AA42" i="26" s="1"/>
  <c r="AA6" i="26"/>
  <c r="X24" i="26"/>
  <c r="AA43" i="26"/>
  <c r="H16" i="26"/>
  <c r="Z16" i="26" s="1"/>
  <c r="H26" i="26"/>
  <c r="Z26" i="26" s="1"/>
  <c r="AA17" i="26"/>
  <c r="Z24" i="26"/>
  <c r="X52" i="26"/>
  <c r="I26" i="26"/>
  <c r="AA26" i="26" s="1"/>
  <c r="F26" i="26"/>
  <c r="X26" i="26" s="1"/>
  <c r="F42" i="26"/>
  <c r="X42" i="26" s="1"/>
  <c r="H42" i="26"/>
  <c r="Z42" i="26" s="1"/>
  <c r="X6" i="26"/>
  <c r="AA24" i="26"/>
  <c r="Z27" i="26"/>
  <c r="X43" i="26"/>
  <c r="Z44" i="26"/>
  <c r="Z52" i="26"/>
  <c r="F53" i="26" l="1"/>
  <c r="X53" i="26" s="1"/>
  <c r="I53" i="26"/>
  <c r="AA53" i="26" s="1"/>
  <c r="H53" i="26"/>
  <c r="Z53" i="26" s="1"/>
  <c r="V45" i="26" l="1"/>
  <c r="AF8" i="26"/>
  <c r="AI36" i="26" l="1"/>
  <c r="W11" i="26"/>
  <c r="AD21" i="26"/>
  <c r="AD50" i="26"/>
  <c r="W50" i="26"/>
  <c r="AE49" i="26"/>
  <c r="AF48" i="26"/>
  <c r="AB48" i="26"/>
  <c r="AH47" i="26"/>
  <c r="AC47" i="26"/>
  <c r="V47" i="26"/>
  <c r="AD46" i="26"/>
  <c r="W46" i="26"/>
  <c r="AE45" i="26"/>
  <c r="AF44" i="26"/>
  <c r="AB44" i="26"/>
  <c r="AC43" i="26"/>
  <c r="V43" i="26"/>
  <c r="AD41" i="26"/>
  <c r="W41" i="26"/>
  <c r="AE40" i="26"/>
  <c r="AF39" i="26"/>
  <c r="AB39" i="26"/>
  <c r="AH38" i="26"/>
  <c r="AC38" i="26"/>
  <c r="AD37" i="26"/>
  <c r="W37" i="26"/>
  <c r="AE36" i="26"/>
  <c r="AF35" i="26"/>
  <c r="AB35" i="26"/>
  <c r="AC34" i="26"/>
  <c r="AC50" i="26"/>
  <c r="V50" i="26"/>
  <c r="AD49" i="26"/>
  <c r="W49" i="26"/>
  <c r="AE48" i="26"/>
  <c r="AF47" i="26"/>
  <c r="AB47" i="26"/>
  <c r="AH46" i="26"/>
  <c r="AC46" i="26"/>
  <c r="V46" i="26"/>
  <c r="AD45" i="26"/>
  <c r="W45" i="26"/>
  <c r="AE44" i="26"/>
  <c r="AB43" i="26"/>
  <c r="AC41" i="26"/>
  <c r="V41" i="26"/>
  <c r="AD40" i="26"/>
  <c r="W40" i="26"/>
  <c r="AE39" i="26"/>
  <c r="AF38" i="26"/>
  <c r="AB38" i="26"/>
  <c r="AH37" i="26"/>
  <c r="AC37" i="26"/>
  <c r="V37" i="26"/>
  <c r="AD36" i="26"/>
  <c r="W36" i="26"/>
  <c r="AE35" i="26"/>
  <c r="AF34" i="26"/>
  <c r="AB34" i="26"/>
  <c r="AH32" i="26"/>
  <c r="AC32" i="26"/>
  <c r="V32" i="26"/>
  <c r="AD31" i="26"/>
  <c r="W31" i="26"/>
  <c r="AE30" i="26"/>
  <c r="AF50" i="26"/>
  <c r="V49" i="26"/>
  <c r="W48" i="26"/>
  <c r="AB46" i="26"/>
  <c r="AC45" i="26"/>
  <c r="AD44" i="26"/>
  <c r="AE43" i="26"/>
  <c r="AF41" i="26"/>
  <c r="V40" i="26"/>
  <c r="W39" i="26"/>
  <c r="AB37" i="26"/>
  <c r="AC36" i="26"/>
  <c r="AD35" i="26"/>
  <c r="AE34" i="26"/>
  <c r="V34" i="26"/>
  <c r="AB32" i="26"/>
  <c r="AF31" i="26"/>
  <c r="AD30" i="26"/>
  <c r="V30" i="26"/>
  <c r="AD29" i="26"/>
  <c r="W29" i="26"/>
  <c r="AE28" i="26"/>
  <c r="AB27" i="26"/>
  <c r="AH25" i="26"/>
  <c r="AC25" i="26"/>
  <c r="V25" i="26"/>
  <c r="AD24" i="26"/>
  <c r="W24" i="26"/>
  <c r="AE22" i="26"/>
  <c r="AF21" i="26"/>
  <c r="AB21" i="26"/>
  <c r="AH20" i="26"/>
  <c r="AC20" i="26"/>
  <c r="V20" i="26"/>
  <c r="AD19" i="26"/>
  <c r="W19" i="26"/>
  <c r="AE18" i="26"/>
  <c r="AF17" i="26"/>
  <c r="AB17" i="26"/>
  <c r="AH15" i="26"/>
  <c r="AC15" i="26"/>
  <c r="V15" i="26"/>
  <c r="AD14" i="26"/>
  <c r="W14" i="26"/>
  <c r="AE13" i="26"/>
  <c r="AF12" i="26"/>
  <c r="AB12" i="26"/>
  <c r="AH11" i="26"/>
  <c r="AC11" i="26"/>
  <c r="AD10" i="26"/>
  <c r="W10" i="26"/>
  <c r="AE9" i="26"/>
  <c r="AE50" i="26"/>
  <c r="AF49" i="26"/>
  <c r="V48" i="26"/>
  <c r="W47" i="26"/>
  <c r="AB45" i="26"/>
  <c r="AC44" i="26"/>
  <c r="AD43" i="26"/>
  <c r="AE41" i="26"/>
  <c r="AF40" i="26"/>
  <c r="AH39" i="26"/>
  <c r="V39" i="26"/>
  <c r="W38" i="26"/>
  <c r="AB36" i="26"/>
  <c r="AC35" i="26"/>
  <c r="AD34" i="26"/>
  <c r="AF32" i="26"/>
  <c r="AE31" i="26"/>
  <c r="V31" i="26"/>
  <c r="AC30" i="26"/>
  <c r="V29" i="26"/>
  <c r="AD28" i="26"/>
  <c r="W28" i="26"/>
  <c r="AF25" i="26"/>
  <c r="AB25" i="26"/>
  <c r="AH24" i="26"/>
  <c r="AD22" i="26"/>
  <c r="AC48" i="26"/>
  <c r="AE46" i="26"/>
  <c r="W43" i="26"/>
  <c r="AB40" i="26"/>
  <c r="AD38" i="26"/>
  <c r="AF36" i="26"/>
  <c r="V35" i="26"/>
  <c r="AD32" i="26"/>
  <c r="AB31" i="26"/>
  <c r="W30" i="26"/>
  <c r="AB28" i="26"/>
  <c r="AC27" i="26"/>
  <c r="AD25" i="26"/>
  <c r="AE24" i="26"/>
  <c r="AF22" i="26"/>
  <c r="V22" i="26"/>
  <c r="AC21" i="26"/>
  <c r="AF20" i="26"/>
  <c r="AE19" i="26"/>
  <c r="V19" i="26"/>
  <c r="AC18" i="26"/>
  <c r="AH17" i="26"/>
  <c r="AE15" i="26"/>
  <c r="W15" i="26"/>
  <c r="AC14" i="26"/>
  <c r="AH13" i="26"/>
  <c r="AB13" i="26"/>
  <c r="AE12" i="26"/>
  <c r="W12" i="26"/>
  <c r="AD11" i="26"/>
  <c r="AH10" i="26"/>
  <c r="AB10" i="26"/>
  <c r="AF9" i="26"/>
  <c r="W9" i="26"/>
  <c r="AE8" i="26"/>
  <c r="AF7" i="26"/>
  <c r="AB7" i="26"/>
  <c r="AH6" i="26"/>
  <c r="AC6" i="26"/>
  <c r="V6" i="26"/>
  <c r="AC49" i="26"/>
  <c r="AE47" i="26"/>
  <c r="AH45" i="26"/>
  <c r="W44" i="26"/>
  <c r="AB41" i="26"/>
  <c r="AD39" i="26"/>
  <c r="AF37" i="26"/>
  <c r="V36" i="26"/>
  <c r="W32" i="26"/>
  <c r="AH30" i="26"/>
  <c r="AF29" i="26"/>
  <c r="AH28" i="26"/>
  <c r="V28" i="26"/>
  <c r="W27" i="26"/>
  <c r="AB24" i="26"/>
  <c r="AC22" i="26"/>
  <c r="AH21" i="26"/>
  <c r="AE20" i="26"/>
  <c r="W20" i="26"/>
  <c r="AC19" i="26"/>
  <c r="AH18" i="26"/>
  <c r="AB18" i="26"/>
  <c r="AE17" i="26"/>
  <c r="W17" i="26"/>
  <c r="AD15" i="26"/>
  <c r="AH14" i="26"/>
  <c r="AB14" i="26"/>
  <c r="AF13" i="26"/>
  <c r="W13" i="26"/>
  <c r="AD12" i="26"/>
  <c r="V12" i="26"/>
  <c r="AB11" i="26"/>
  <c r="AF10" i="26"/>
  <c r="AD9" i="26"/>
  <c r="V9" i="26"/>
  <c r="AD8" i="26"/>
  <c r="W8" i="26"/>
  <c r="AE7" i="26"/>
  <c r="AF6" i="26"/>
  <c r="AB6" i="26"/>
  <c r="AB49" i="26"/>
  <c r="AD47" i="26"/>
  <c r="AF45" i="26"/>
  <c r="AC39" i="26"/>
  <c r="AE37" i="26"/>
  <c r="AH35" i="26"/>
  <c r="W34" i="26"/>
  <c r="AH31" i="26"/>
  <c r="AF30" i="26"/>
  <c r="AE29" i="26"/>
  <c r="AF28" i="26"/>
  <c r="V27" i="26"/>
  <c r="W25" i="26"/>
  <c r="AB22" i="26"/>
  <c r="AE21" i="26"/>
  <c r="W21" i="26"/>
  <c r="AD20" i="26"/>
  <c r="AB19" i="26"/>
  <c r="AF18" i="26"/>
  <c r="W18" i="26"/>
  <c r="AD17" i="26"/>
  <c r="V17" i="26"/>
  <c r="AB15" i="26"/>
  <c r="AF14" i="26"/>
  <c r="AD13" i="26"/>
  <c r="V13" i="26"/>
  <c r="AC12" i="26"/>
  <c r="AF11" i="26"/>
  <c r="AE10" i="26"/>
  <c r="V10" i="26"/>
  <c r="AC9" i="26"/>
  <c r="AH8" i="26"/>
  <c r="AC8" i="26"/>
  <c r="V8" i="26"/>
  <c r="AD7" i="26"/>
  <c r="W7" i="26"/>
  <c r="AE6" i="26"/>
  <c r="AB50" i="26"/>
  <c r="W35" i="26"/>
  <c r="AB29" i="26"/>
  <c r="AF24" i="26"/>
  <c r="V21" i="26"/>
  <c r="AD18" i="26"/>
  <c r="AH12" i="26"/>
  <c r="AC10" i="26"/>
  <c r="AB8" i="26"/>
  <c r="AD6" i="26"/>
  <c r="AD48" i="26"/>
  <c r="AC40" i="26"/>
  <c r="AE32" i="26"/>
  <c r="AC28" i="26"/>
  <c r="AH22" i="26"/>
  <c r="AB20" i="26"/>
  <c r="V18" i="26"/>
  <c r="AE14" i="26"/>
  <c r="AH9" i="26"/>
  <c r="AH7" i="26"/>
  <c r="W6" i="26"/>
  <c r="AF46" i="26"/>
  <c r="AE38" i="26"/>
  <c r="AC31" i="26"/>
  <c r="AD27" i="26"/>
  <c r="W22" i="26"/>
  <c r="AF19" i="26"/>
  <c r="AC17" i="26"/>
  <c r="AE11" i="26"/>
  <c r="AB9" i="26"/>
  <c r="AC7" i="26"/>
  <c r="AC13" i="26"/>
  <c r="AE25" i="26"/>
  <c r="V7" i="26"/>
  <c r="AF15" i="26"/>
  <c r="AB30" i="26"/>
  <c r="AI46" i="26"/>
  <c r="AI7" i="26"/>
  <c r="AI11" i="26"/>
  <c r="AC29" i="26"/>
  <c r="AE27" i="26"/>
  <c r="AH36" i="26"/>
  <c r="AI24" i="26" l="1"/>
  <c r="AI30" i="26"/>
  <c r="AI31" i="26"/>
  <c r="AI47" i="26"/>
  <c r="AI22" i="26"/>
  <c r="AI35" i="26"/>
  <c r="AI26" i="26"/>
  <c r="AI21" i="26"/>
  <c r="Q23" i="26"/>
  <c r="AI23" i="26" s="1"/>
  <c r="Q42" i="26"/>
  <c r="AI42" i="26" s="1"/>
  <c r="AI45" i="26"/>
  <c r="AI17" i="26"/>
  <c r="P23" i="26"/>
  <c r="AH23" i="26" s="1"/>
  <c r="AI25" i="26"/>
  <c r="Q16" i="26"/>
  <c r="AI16" i="26" s="1"/>
  <c r="M5" i="26"/>
  <c r="AE5" i="26" s="1"/>
  <c r="AI38" i="26"/>
  <c r="N23" i="26"/>
  <c r="AF23" i="26" s="1"/>
  <c r="AI12" i="26"/>
  <c r="AI18" i="26"/>
  <c r="AI13" i="26"/>
  <c r="AI37" i="26"/>
  <c r="N5" i="26"/>
  <c r="AF5" i="26" s="1"/>
  <c r="AI20" i="26"/>
  <c r="M23" i="26"/>
  <c r="AE23" i="26" s="1"/>
  <c r="N26" i="26"/>
  <c r="AF26" i="26" s="1"/>
  <c r="M42" i="26"/>
  <c r="AE42" i="26" s="1"/>
  <c r="AI28" i="26"/>
  <c r="AI14" i="26"/>
  <c r="AI6" i="26"/>
  <c r="AI8" i="26"/>
  <c r="AI15" i="26"/>
  <c r="M16" i="26"/>
  <c r="AE16" i="26" s="1"/>
  <c r="L42" i="26"/>
  <c r="AD42" i="26" s="1"/>
  <c r="AI39" i="26"/>
  <c r="AF27" i="26"/>
  <c r="Q5" i="26"/>
  <c r="L5" i="26"/>
  <c r="AD5" i="26" s="1"/>
  <c r="AI9" i="26"/>
  <c r="AI32" i="26"/>
  <c r="L23" i="26"/>
  <c r="AD23" i="26" s="1"/>
  <c r="AI10" i="26"/>
  <c r="N16" i="26"/>
  <c r="AF16" i="26" s="1"/>
  <c r="L16" i="26"/>
  <c r="AD16" i="26" s="1"/>
  <c r="AD26" i="26"/>
  <c r="O43" i="26"/>
  <c r="AG43" i="26" s="1"/>
  <c r="AQ21" i="26" s="1"/>
  <c r="O46" i="26"/>
  <c r="R46" i="26" s="1"/>
  <c r="AJ46" i="26" s="1"/>
  <c r="AM35" i="26" s="1"/>
  <c r="O32" i="26"/>
  <c r="R32" i="26" s="1"/>
  <c r="AJ32" i="26" s="1"/>
  <c r="AM43" i="26" s="1"/>
  <c r="O29" i="26"/>
  <c r="AG29" i="26" s="1"/>
  <c r="AQ25" i="26" s="1"/>
  <c r="O34" i="26"/>
  <c r="AG34" i="26" s="1"/>
  <c r="AQ32" i="26" s="1"/>
  <c r="O49" i="26"/>
  <c r="AG49" i="26" s="1"/>
  <c r="AQ10" i="26" s="1"/>
  <c r="O6" i="26"/>
  <c r="R6" i="26" s="1"/>
  <c r="AJ6" i="26" s="1"/>
  <c r="AM25" i="26" s="1"/>
  <c r="D23" i="26"/>
  <c r="V23" i="26" s="1"/>
  <c r="O11" i="26"/>
  <c r="R11" i="26" s="1"/>
  <c r="AJ11" i="26" s="1"/>
  <c r="AM31" i="26" s="1"/>
  <c r="O47" i="26"/>
  <c r="AG47" i="26" s="1"/>
  <c r="AQ14" i="26" s="1"/>
  <c r="O36" i="26"/>
  <c r="AG36" i="26" s="1"/>
  <c r="AQ30" i="26" s="1"/>
  <c r="O37" i="26"/>
  <c r="R37" i="26" s="1"/>
  <c r="AJ37" i="26" s="1"/>
  <c r="AM37" i="26" s="1"/>
  <c r="K42" i="26"/>
  <c r="AC42" i="26" s="1"/>
  <c r="J23" i="26"/>
  <c r="AB23" i="26" s="1"/>
  <c r="D5" i="26"/>
  <c r="V5" i="26" s="1"/>
  <c r="O39" i="26"/>
  <c r="R39" i="26" s="1"/>
  <c r="AJ39" i="26" s="1"/>
  <c r="AM30" i="26" s="1"/>
  <c r="D16" i="26"/>
  <c r="O48" i="26"/>
  <c r="V11" i="26"/>
  <c r="O13" i="26"/>
  <c r="AG13" i="26" s="1"/>
  <c r="AQ23" i="26" s="1"/>
  <c r="O50" i="26"/>
  <c r="AG50" i="26" s="1"/>
  <c r="AQ26" i="26" s="1"/>
  <c r="O41" i="26"/>
  <c r="AG41" i="26" s="1"/>
  <c r="AQ36" i="26" s="1"/>
  <c r="E42" i="26"/>
  <c r="W42" i="26" s="1"/>
  <c r="V24" i="26"/>
  <c r="O20" i="26"/>
  <c r="AG20" i="26" s="1"/>
  <c r="AQ27" i="26" s="1"/>
  <c r="O8" i="26"/>
  <c r="AG8" i="26" s="1"/>
  <c r="AQ44" i="26" s="1"/>
  <c r="O24" i="26"/>
  <c r="AG24" i="26" s="1"/>
  <c r="AQ9" i="26" s="1"/>
  <c r="O27" i="26"/>
  <c r="AG27" i="26" s="1"/>
  <c r="AQ33" i="26" s="1"/>
  <c r="J42" i="26"/>
  <c r="AB42" i="26" s="1"/>
  <c r="O21" i="26"/>
  <c r="R21" i="26" s="1"/>
  <c r="AJ21" i="26" s="1"/>
  <c r="AM19" i="26" s="1"/>
  <c r="E5" i="26"/>
  <c r="W5" i="26" s="1"/>
  <c r="O45" i="26"/>
  <c r="AG45" i="26" s="1"/>
  <c r="AQ41" i="26" s="1"/>
  <c r="O19" i="26"/>
  <c r="AG19" i="26" s="1"/>
  <c r="AQ6" i="26" s="1"/>
  <c r="O22" i="26"/>
  <c r="AG22" i="26" s="1"/>
  <c r="AQ18" i="26" s="1"/>
  <c r="O10" i="26"/>
  <c r="R10" i="26" s="1"/>
  <c r="AJ10" i="26" s="1"/>
  <c r="AM15" i="26" s="1"/>
  <c r="E23" i="26"/>
  <c r="W23" i="26" s="1"/>
  <c r="D42" i="26"/>
  <c r="V42" i="26" s="1"/>
  <c r="O52" i="26"/>
  <c r="AG52" i="26" s="1"/>
  <c r="O18" i="26"/>
  <c r="AG18" i="26" s="1"/>
  <c r="AQ28" i="26" s="1"/>
  <c r="J5" i="26"/>
  <c r="AB5" i="26" s="1"/>
  <c r="K5" i="26"/>
  <c r="AC5" i="26" s="1"/>
  <c r="E16" i="26"/>
  <c r="W16" i="26" s="1"/>
  <c r="O17" i="26"/>
  <c r="AG17" i="26" s="1"/>
  <c r="AQ13" i="26" s="1"/>
  <c r="O12" i="26"/>
  <c r="R12" i="26" s="1"/>
  <c r="AJ12" i="26" s="1"/>
  <c r="AM9" i="26" s="1"/>
  <c r="O35" i="26"/>
  <c r="AG35" i="26" s="1"/>
  <c r="AQ19" i="26" s="1"/>
  <c r="D26" i="26"/>
  <c r="K16" i="26"/>
  <c r="AC16" i="26" s="1"/>
  <c r="O9" i="26"/>
  <c r="AG9" i="26" s="1"/>
  <c r="AQ17" i="26" s="1"/>
  <c r="J16" i="26"/>
  <c r="AB16" i="26" s="1"/>
  <c r="O25" i="26"/>
  <c r="R25" i="26" s="1"/>
  <c r="AJ25" i="26" s="1"/>
  <c r="AM23" i="26" s="1"/>
  <c r="E26" i="26"/>
  <c r="W26" i="26" s="1"/>
  <c r="O31" i="26"/>
  <c r="AG31" i="26" s="1"/>
  <c r="AQ37" i="26" s="1"/>
  <c r="O14" i="26"/>
  <c r="R14" i="26" s="1"/>
  <c r="AJ14" i="26" s="1"/>
  <c r="AM46" i="26" s="1"/>
  <c r="O15" i="26"/>
  <c r="AG15" i="26" s="1"/>
  <c r="AQ12" i="26" s="1"/>
  <c r="K26" i="26"/>
  <c r="AC26" i="26" s="1"/>
  <c r="O28" i="26"/>
  <c r="R28" i="26" s="1"/>
  <c r="AJ28" i="26" s="1"/>
  <c r="AM40" i="26" s="1"/>
  <c r="O30" i="26"/>
  <c r="AG30" i="26" s="1"/>
  <c r="AQ38" i="26" s="1"/>
  <c r="J26" i="26"/>
  <c r="AB26" i="26" s="1"/>
  <c r="V14" i="26"/>
  <c r="O7" i="26"/>
  <c r="AG7" i="26" s="1"/>
  <c r="AQ34" i="26" s="1"/>
  <c r="AH44" i="26"/>
  <c r="AI44" i="26"/>
  <c r="AH29" i="26"/>
  <c r="AI29" i="26"/>
  <c r="AD52" i="26"/>
  <c r="L51" i="26"/>
  <c r="AD51" i="26" s="1"/>
  <c r="AF43" i="26"/>
  <c r="N42" i="26"/>
  <c r="AF42" i="26" s="1"/>
  <c r="AH50" i="26"/>
  <c r="AI50" i="26"/>
  <c r="AH34" i="26"/>
  <c r="AI34" i="26"/>
  <c r="AI52" i="26"/>
  <c r="Q51" i="26"/>
  <c r="AI51" i="26" s="1"/>
  <c r="AH19" i="26"/>
  <c r="AI19" i="26"/>
  <c r="AH27" i="26"/>
  <c r="AI27" i="26"/>
  <c r="AH48" i="26"/>
  <c r="AI48" i="26"/>
  <c r="O40" i="26"/>
  <c r="AG40" i="26" s="1"/>
  <c r="AQ39" i="26" s="1"/>
  <c r="M51" i="26"/>
  <c r="AE51" i="26" s="1"/>
  <c r="AE52" i="26"/>
  <c r="J51" i="26"/>
  <c r="AB51" i="26" s="1"/>
  <c r="AB52" i="26"/>
  <c r="AC24" i="26"/>
  <c r="K23" i="26"/>
  <c r="AC23" i="26" s="1"/>
  <c r="AH40" i="26"/>
  <c r="AI40" i="26"/>
  <c r="AH41" i="26"/>
  <c r="AI41" i="26"/>
  <c r="AF52" i="26"/>
  <c r="N51" i="26"/>
  <c r="AF51" i="26" s="1"/>
  <c r="AH43" i="26"/>
  <c r="AI43" i="26"/>
  <c r="V52" i="26"/>
  <c r="D51" i="26"/>
  <c r="O44" i="26"/>
  <c r="AG44" i="26" s="1"/>
  <c r="AQ8" i="26" s="1"/>
  <c r="V44" i="26"/>
  <c r="W52" i="26"/>
  <c r="E51" i="26"/>
  <c r="W51" i="26" s="1"/>
  <c r="M26" i="26"/>
  <c r="AE26" i="26" s="1"/>
  <c r="AH49" i="26"/>
  <c r="AI49" i="26"/>
  <c r="V38" i="26"/>
  <c r="O38" i="26"/>
  <c r="AC52" i="26"/>
  <c r="K51" i="26"/>
  <c r="AC51" i="26" s="1"/>
  <c r="P5" i="26"/>
  <c r="AH5" i="26" s="1"/>
  <c r="AI5" i="26" l="1"/>
  <c r="Q53" i="26"/>
  <c r="AI53" i="26" s="1"/>
  <c r="V26" i="26"/>
  <c r="O26" i="26"/>
  <c r="R26" i="26" s="1"/>
  <c r="AG46" i="26"/>
  <c r="AQ47" i="26" s="1"/>
  <c r="L53" i="26"/>
  <c r="AD53" i="26" s="1"/>
  <c r="AR9" i="26"/>
  <c r="AG37" i="26"/>
  <c r="AQ40" i="26" s="1"/>
  <c r="AG10" i="26"/>
  <c r="AQ15" i="26" s="1"/>
  <c r="R18" i="26"/>
  <c r="AJ18" i="26" s="1"/>
  <c r="AM29" i="26" s="1"/>
  <c r="R7" i="26"/>
  <c r="AJ7" i="26" s="1"/>
  <c r="AM28" i="26" s="1"/>
  <c r="P16" i="26"/>
  <c r="AH16" i="26" s="1"/>
  <c r="N53" i="26"/>
  <c r="AF53" i="26" s="1"/>
  <c r="R50" i="26"/>
  <c r="AJ50" i="26" s="1"/>
  <c r="AM13" i="26" s="1"/>
  <c r="R48" i="26"/>
  <c r="AJ48" i="26" s="1"/>
  <c r="AM8" i="26" s="1"/>
  <c r="R47" i="26"/>
  <c r="AJ47" i="26" s="1"/>
  <c r="AM17" i="26" s="1"/>
  <c r="R24" i="26"/>
  <c r="AJ24" i="26" s="1"/>
  <c r="AM11" i="26" s="1"/>
  <c r="AG21" i="26"/>
  <c r="AQ16" i="26" s="1"/>
  <c r="R9" i="26"/>
  <c r="AJ9" i="26" s="1"/>
  <c r="AM21" i="26" s="1"/>
  <c r="R17" i="26"/>
  <c r="AJ17" i="26" s="1"/>
  <c r="AM10" i="26" s="1"/>
  <c r="R36" i="26"/>
  <c r="AJ36" i="26" s="1"/>
  <c r="AM32" i="26" s="1"/>
  <c r="AG12" i="26"/>
  <c r="AQ11" i="26" s="1"/>
  <c r="R19" i="26"/>
  <c r="AJ19" i="26" s="1"/>
  <c r="AM6" i="26" s="1"/>
  <c r="R13" i="26"/>
  <c r="AJ13" i="26" s="1"/>
  <c r="AM24" i="26" s="1"/>
  <c r="R31" i="26"/>
  <c r="AJ31" i="26" s="1"/>
  <c r="AM41" i="26" s="1"/>
  <c r="AG32" i="26"/>
  <c r="AQ42" i="26" s="1"/>
  <c r="R35" i="26"/>
  <c r="AJ35" i="26" s="1"/>
  <c r="AM20" i="26" s="1"/>
  <c r="O16" i="26"/>
  <c r="R22" i="26"/>
  <c r="AJ22" i="26" s="1"/>
  <c r="AM16" i="26" s="1"/>
  <c r="AG11" i="26"/>
  <c r="AQ29" i="26" s="1"/>
  <c r="R27" i="26"/>
  <c r="AJ27" i="26" s="1"/>
  <c r="AM33" i="26" s="1"/>
  <c r="R30" i="26"/>
  <c r="AJ30" i="26" s="1"/>
  <c r="AM34" i="26" s="1"/>
  <c r="AG48" i="26"/>
  <c r="AQ7" i="26" s="1"/>
  <c r="AG6" i="26"/>
  <c r="AQ24" i="26" s="1"/>
  <c r="R20" i="26"/>
  <c r="AJ20" i="26" s="1"/>
  <c r="AM27" i="26" s="1"/>
  <c r="AG25" i="26"/>
  <c r="AQ22" i="26" s="1"/>
  <c r="AG39" i="26"/>
  <c r="AQ31" i="26" s="1"/>
  <c r="D53" i="26"/>
  <c r="V53" i="26" s="1"/>
  <c r="V16" i="26"/>
  <c r="R8" i="26"/>
  <c r="AJ8" i="26" s="1"/>
  <c r="AM45" i="26" s="1"/>
  <c r="O42" i="26"/>
  <c r="AG42" i="26" s="1"/>
  <c r="O5" i="26"/>
  <c r="R5" i="26" s="1"/>
  <c r="AJ5" i="26" s="1"/>
  <c r="R52" i="26"/>
  <c r="AJ52" i="26" s="1"/>
  <c r="E53" i="26"/>
  <c r="W53" i="26" s="1"/>
  <c r="R45" i="26"/>
  <c r="AJ45" i="26" s="1"/>
  <c r="AM38" i="26" s="1"/>
  <c r="R15" i="26"/>
  <c r="AJ15" i="26" s="1"/>
  <c r="AM14" i="26" s="1"/>
  <c r="AG28" i="26"/>
  <c r="AQ35" i="26" s="1"/>
  <c r="AG14" i="26"/>
  <c r="AQ45" i="26" s="1"/>
  <c r="O23" i="26"/>
  <c r="AG23" i="26" s="1"/>
  <c r="M53" i="26"/>
  <c r="AE53" i="26" s="1"/>
  <c r="R49" i="26"/>
  <c r="AJ49" i="26" s="1"/>
  <c r="AM12" i="26" s="1"/>
  <c r="R41" i="26"/>
  <c r="AJ41" i="26" s="1"/>
  <c r="AM39" i="26" s="1"/>
  <c r="R29" i="26"/>
  <c r="AJ29" i="26" s="1"/>
  <c r="AM26" i="26" s="1"/>
  <c r="R34" i="26"/>
  <c r="AJ34" i="26" s="1"/>
  <c r="AM36" i="26" s="1"/>
  <c r="J53" i="26"/>
  <c r="AB53" i="26" s="1"/>
  <c r="K53" i="26"/>
  <c r="AC53" i="26" s="1"/>
  <c r="R40" i="26"/>
  <c r="AJ40" i="26" s="1"/>
  <c r="AM42" i="26" s="1"/>
  <c r="AG38" i="26"/>
  <c r="AQ43" i="26" s="1"/>
  <c r="R38" i="26"/>
  <c r="AJ38" i="26" s="1"/>
  <c r="AM44" i="26" s="1"/>
  <c r="R44" i="26"/>
  <c r="AJ44" i="26" s="1"/>
  <c r="AM7" i="26" s="1"/>
  <c r="R43" i="26"/>
  <c r="AJ43" i="26" s="1"/>
  <c r="AM22" i="26" s="1"/>
  <c r="P42" i="26"/>
  <c r="AH42" i="26" s="1"/>
  <c r="V51" i="26"/>
  <c r="O51" i="26"/>
  <c r="AH26" i="26"/>
  <c r="AH52" i="26"/>
  <c r="P51" i="26"/>
  <c r="AH51" i="26" s="1"/>
  <c r="AR6" i="26"/>
  <c r="AG26" i="26" l="1"/>
  <c r="AN8" i="26"/>
  <c r="AR8" i="26"/>
  <c r="AN10" i="26"/>
  <c r="AN7" i="26"/>
  <c r="R16" i="26"/>
  <c r="AJ16" i="26" s="1"/>
  <c r="AG16" i="26"/>
  <c r="AG5" i="26"/>
  <c r="R23" i="26"/>
  <c r="AJ23" i="26" s="1"/>
  <c r="AJ26" i="26"/>
  <c r="P53" i="26"/>
  <c r="AH53" i="26" s="1"/>
  <c r="O53" i="26"/>
  <c r="R42" i="26"/>
  <c r="AJ42" i="26" s="1"/>
  <c r="AG51" i="26"/>
  <c r="AQ20" i="26" s="1"/>
  <c r="R51" i="26"/>
  <c r="AJ51" i="26" s="1"/>
  <c r="AM18" i="26" s="1"/>
  <c r="R53" i="26" l="1"/>
  <c r="AJ53" i="26" s="1"/>
  <c r="AR10" i="26"/>
  <c r="AR7" i="26"/>
  <c r="AN9" i="26"/>
  <c r="AM48" i="26"/>
  <c r="AQ48" i="26"/>
  <c r="AN6" i="26"/>
  <c r="AG53" i="26"/>
  <c r="M15" i="34" l="1"/>
  <c r="N15" i="34" s="1"/>
  <c r="M16" i="34"/>
  <c r="N16" i="34" s="1"/>
  <c r="M17" i="34"/>
  <c r="N17" i="34" s="1"/>
  <c r="M13" i="34"/>
  <c r="N13" i="34" s="1"/>
  <c r="M10" i="34"/>
  <c r="N10" i="34" s="1"/>
  <c r="M14" i="34"/>
  <c r="N14" i="34" s="1"/>
  <c r="M11" i="34"/>
  <c r="N11" i="34" s="1"/>
  <c r="M12" i="34"/>
  <c r="N12" i="34" s="1"/>
  <c r="M9" i="34"/>
  <c r="N9" i="34" s="1"/>
  <c r="K7" i="34"/>
  <c r="M7" i="34" l="1"/>
  <c r="N7" i="34" s="1"/>
  <c r="M20" i="34"/>
  <c r="N20" i="34" s="1"/>
  <c r="K18" i="34"/>
  <c r="M18" i="34" s="1"/>
  <c r="N18" i="34" s="1"/>
  <c r="M19" i="34"/>
  <c r="N19" i="34" s="1"/>
  <c r="M22" i="34"/>
  <c r="N22" i="34" s="1"/>
  <c r="M24" i="34"/>
  <c r="N24" i="34" s="1"/>
  <c r="M23" i="34"/>
  <c r="N23" i="34" s="1"/>
  <c r="M21" i="34"/>
  <c r="N21" i="34" s="1"/>
  <c r="M28" i="34"/>
  <c r="N28" i="34" s="1"/>
  <c r="M27" i="34"/>
  <c r="N27" i="34" s="1"/>
  <c r="K25" i="34"/>
  <c r="M25" i="34" s="1"/>
  <c r="N25" i="34" s="1"/>
  <c r="M30" i="34"/>
  <c r="N30" i="34" s="1"/>
  <c r="M29" i="34"/>
  <c r="N29" i="34" s="1"/>
  <c r="M26" i="34"/>
  <c r="N26" i="34" s="1"/>
  <c r="M42" i="34"/>
  <c r="N42" i="34" s="1"/>
  <c r="M41" i="34"/>
  <c r="N41" i="34" s="1"/>
  <c r="K31" i="34"/>
  <c r="M31" i="34" s="1"/>
  <c r="N31" i="34" s="1"/>
  <c r="M39" i="34"/>
  <c r="N39" i="34" s="1"/>
  <c r="M45" i="34"/>
  <c r="N45" i="34" s="1"/>
  <c r="M33" i="34"/>
  <c r="N33" i="34" s="1"/>
  <c r="M34" i="34"/>
  <c r="N34" i="34" s="1"/>
  <c r="M35" i="34"/>
  <c r="N35" i="34" s="1"/>
  <c r="M40" i="34"/>
  <c r="N40" i="34" s="1"/>
  <c r="M44" i="34"/>
  <c r="N44" i="34" s="1"/>
  <c r="M37" i="34"/>
  <c r="N37" i="34" s="1"/>
  <c r="M32" i="34"/>
  <c r="N32" i="34" s="1"/>
  <c r="M36" i="34"/>
  <c r="N36" i="34" s="1"/>
  <c r="M38" i="34"/>
  <c r="N38" i="34" s="1"/>
  <c r="M43" i="34"/>
  <c r="N43" i="34" s="1"/>
  <c r="M56" i="34" l="1"/>
  <c r="N56" i="34" s="1"/>
  <c r="M50" i="34"/>
  <c r="N50" i="34" s="1"/>
  <c r="M53" i="34"/>
  <c r="N53" i="34" s="1"/>
  <c r="M48" i="34"/>
  <c r="N48" i="34" s="1"/>
  <c r="M51" i="34"/>
  <c r="N51" i="34" s="1"/>
  <c r="M52" i="34"/>
  <c r="N52" i="34" s="1"/>
  <c r="M54" i="34"/>
  <c r="N54" i="34" s="1"/>
  <c r="M49" i="34"/>
  <c r="N49" i="34" s="1"/>
  <c r="M55" i="34"/>
  <c r="N55" i="34" s="1"/>
  <c r="M57" i="34"/>
  <c r="N57" i="34" s="1"/>
  <c r="K46" i="34"/>
  <c r="M47" i="34"/>
  <c r="N47" i="34" s="1"/>
  <c r="M46" i="34" l="1"/>
  <c r="N46" i="34" s="1"/>
  <c r="K58" i="34"/>
  <c r="M59" i="34"/>
  <c r="N59" i="34" s="1"/>
  <c r="K60" i="34" l="1"/>
  <c r="M60" i="34" s="1"/>
  <c r="N60" i="34" s="1"/>
  <c r="M58" i="34"/>
  <c r="N58" i="34" s="1"/>
</calcChain>
</file>

<file path=xl/sharedStrings.xml><?xml version="1.0" encoding="utf-8"?>
<sst xmlns="http://schemas.openxmlformats.org/spreadsheetml/2006/main" count="2108" uniqueCount="286">
  <si>
    <r>
      <rPr>
        <b/>
        <i/>
        <sz val="11"/>
        <color theme="1"/>
        <rFont val="Calibri"/>
        <family val="2"/>
      </rPr>
      <t>[Table 1]</t>
    </r>
    <r>
      <rPr>
        <b/>
        <sz val="11"/>
        <color theme="1"/>
        <rFont val="Calibri"/>
        <family val="2"/>
      </rPr>
      <t xml:space="preserve"> 2022 Commitments ($ million)</t>
    </r>
    <r>
      <rPr>
        <vertAlign val="superscript"/>
        <sz val="11"/>
        <rFont val="Calibri"/>
        <family val="2"/>
      </rPr>
      <t>a</t>
    </r>
  </si>
  <si>
    <t>DMC/Product Type</t>
  </si>
  <si>
    <t>Sovereign</t>
  </si>
  <si>
    <t>Nonsovereign</t>
  </si>
  <si>
    <t>Total</t>
  </si>
  <si>
    <t>Afghanistan</t>
  </si>
  <si>
    <t>Grants</t>
  </si>
  <si>
    <t>Armenia</t>
  </si>
  <si>
    <t>Loans</t>
  </si>
  <si>
    <r>
      <t>Technical Assistance</t>
    </r>
    <r>
      <rPr>
        <vertAlign val="superscript"/>
        <sz val="11"/>
        <color rgb="FF000000"/>
        <rFont val="Calibri"/>
        <family val="2"/>
      </rPr>
      <t>b</t>
    </r>
  </si>
  <si>
    <r>
      <t>Trade and Supply Chain Finance Program</t>
    </r>
    <r>
      <rPr>
        <vertAlign val="superscript"/>
        <sz val="11"/>
        <color rgb="FF000000"/>
        <rFont val="Calibri"/>
        <family val="2"/>
      </rPr>
      <t>[R1]</t>
    </r>
  </si>
  <si>
    <t>Azerbaijan</t>
  </si>
  <si>
    <t>Bangladesh</t>
  </si>
  <si>
    <r>
      <t>Trade and Supply Chain Finance Program and Microfinance Program</t>
    </r>
    <r>
      <rPr>
        <vertAlign val="superscript"/>
        <sz val="11"/>
        <color rgb="FF000000"/>
        <rFont val="Calibri"/>
        <family val="2"/>
      </rPr>
      <t>[R3]</t>
    </r>
  </si>
  <si>
    <t>Bhutan</t>
  </si>
  <si>
    <t>Cambodia</t>
  </si>
  <si>
    <t>Guarantees</t>
  </si>
  <si>
    <r>
      <t>Microfinance Program</t>
    </r>
    <r>
      <rPr>
        <vertAlign val="superscript"/>
        <sz val="11"/>
        <color rgb="FF000000"/>
        <rFont val="Calibri"/>
        <family val="2"/>
      </rPr>
      <t>[R1]</t>
    </r>
  </si>
  <si>
    <t>China, People's Republic of</t>
  </si>
  <si>
    <r>
      <t>Trade and Supply Chain Finance Program</t>
    </r>
    <r>
      <rPr>
        <vertAlign val="superscript"/>
        <sz val="11"/>
        <color rgb="FF000000"/>
        <rFont val="Calibri"/>
        <family val="2"/>
      </rPr>
      <t>[R2]</t>
    </r>
  </si>
  <si>
    <t>Cook Islands</t>
  </si>
  <si>
    <t>Federated States of Micronesia</t>
  </si>
  <si>
    <t>Fiji</t>
  </si>
  <si>
    <t>Georgia</t>
  </si>
  <si>
    <r>
      <t>Trade and Supply Chain Finance Program</t>
    </r>
    <r>
      <rPr>
        <vertAlign val="superscript"/>
        <sz val="11"/>
        <color rgb="FF000000"/>
        <rFont val="Calibri"/>
        <family val="2"/>
      </rPr>
      <t>[R3]</t>
    </r>
  </si>
  <si>
    <t>India</t>
  </si>
  <si>
    <t>Indonesia</t>
  </si>
  <si>
    <t>Equity Investments</t>
  </si>
  <si>
    <t>Kazakhstan</t>
  </si>
  <si>
    <t>Kiribati</t>
  </si>
  <si>
    <t>Kyrgyz Republic</t>
  </si>
  <si>
    <t>Lao PDR</t>
  </si>
  <si>
    <t>Malaysia</t>
  </si>
  <si>
    <t>Maldives</t>
  </si>
  <si>
    <t>Marshall Islands</t>
  </si>
  <si>
    <t>Mongolia</t>
  </si>
  <si>
    <t>Nauru</t>
  </si>
  <si>
    <t>Nepal</t>
  </si>
  <si>
    <t>Niue</t>
  </si>
  <si>
    <t>Pakistan</t>
  </si>
  <si>
    <r>
      <t>Trade and Supply Chain Finance Program and Microfinance Program</t>
    </r>
    <r>
      <rPr>
        <vertAlign val="superscript"/>
        <sz val="11"/>
        <color rgb="FF000000"/>
        <rFont val="Calibri"/>
        <family val="2"/>
      </rPr>
      <t>[R2]</t>
    </r>
  </si>
  <si>
    <t>Palau</t>
  </si>
  <si>
    <t>Papua New Guinea</t>
  </si>
  <si>
    <t>Philippines</t>
  </si>
  <si>
    <t>Samoa</t>
  </si>
  <si>
    <t>Solomon Islands</t>
  </si>
  <si>
    <t>Sri Lanka</t>
  </si>
  <si>
    <t>Tajikistan</t>
  </si>
  <si>
    <t>Thailand</t>
  </si>
  <si>
    <t>Timor-Leste</t>
  </si>
  <si>
    <t>Tonga</t>
  </si>
  <si>
    <t>Turkmenistan</t>
  </si>
  <si>
    <t>Tuvalu</t>
  </si>
  <si>
    <t>Uzbekistan</t>
  </si>
  <si>
    <t>Vanuatu</t>
  </si>
  <si>
    <t>Viet Nam</t>
  </si>
  <si>
    <t>- = nil, DMC = developing member country, TA = technical assistance.</t>
  </si>
  <si>
    <t>Notes:</t>
  </si>
  <si>
    <t>Commitment is the financing approved by ADB’s Board of Directors or Management for which the legal agreement has been signed by the borrower, recipient, or the investee company and ADB.</t>
  </si>
  <si>
    <t>Grants and TA include ADB-administered coﬁnancing.</t>
  </si>
  <si>
    <r>
      <rPr>
        <vertAlign val="superscript"/>
        <sz val="11"/>
        <rFont val="Calibri"/>
        <family val="2"/>
      </rPr>
      <t>a</t>
    </r>
    <r>
      <rPr>
        <sz val="11"/>
        <rFont val="Calibri"/>
        <family val="2"/>
      </rPr>
      <t xml:space="preserve"> Numbers may not sum precisely because of rounding.</t>
    </r>
  </si>
  <si>
    <r>
      <rPr>
        <vertAlign val="superscript"/>
        <sz val="11"/>
        <color rgb="FF000000"/>
        <rFont val="Calibri"/>
        <family val="2"/>
      </rPr>
      <t>b</t>
    </r>
    <r>
      <rPr>
        <sz val="11"/>
        <color indexed="8"/>
        <rFont val="Calibri"/>
        <family val="2"/>
      </rPr>
      <t xml:space="preserve"> Financing for TA projects with regional coverage is distributed to their specific DMCs where breakdown is available.</t>
    </r>
  </si>
  <si>
    <r>
      <rPr>
        <vertAlign val="superscript"/>
        <sz val="11"/>
        <rFont val="Calibri"/>
        <family val="2"/>
      </rPr>
      <t>c</t>
    </r>
    <r>
      <rPr>
        <b/>
        <sz val="11"/>
        <color theme="5" tint="-0.249977111117893"/>
        <rFont val="Calibri"/>
        <family val="2"/>
      </rPr>
      <t xml:space="preserve"> </t>
    </r>
    <r>
      <rPr>
        <b/>
        <i/>
        <sz val="11"/>
        <color rgb="FFC65911"/>
        <rFont val="Calibri"/>
        <family val="2"/>
      </rPr>
      <t xml:space="preserve">Note: Please see respective footnote texts for </t>
    </r>
    <r>
      <rPr>
        <b/>
        <i/>
        <vertAlign val="superscript"/>
        <sz val="11"/>
        <color rgb="FFC65911"/>
        <rFont val="Calibri"/>
        <family val="2"/>
      </rPr>
      <t>[R1]</t>
    </r>
    <r>
      <rPr>
        <b/>
        <i/>
        <sz val="11"/>
        <color rgb="FFC65911"/>
        <rFont val="Calibri"/>
        <family val="2"/>
      </rPr>
      <t>,</t>
    </r>
    <r>
      <rPr>
        <b/>
        <i/>
        <vertAlign val="superscript"/>
        <sz val="11"/>
        <color rgb="FFC65911"/>
        <rFont val="Calibri"/>
        <family val="2"/>
      </rPr>
      <t xml:space="preserve"> [R2]</t>
    </r>
    <r>
      <rPr>
        <b/>
        <i/>
        <sz val="11"/>
        <color rgb="FFC65911"/>
        <rFont val="Calibri"/>
        <family val="2"/>
      </rPr>
      <t xml:space="preserve"> or </t>
    </r>
    <r>
      <rPr>
        <b/>
        <i/>
        <vertAlign val="superscript"/>
        <sz val="11"/>
        <color rgb="FFC65911"/>
        <rFont val="Calibri"/>
        <family val="2"/>
      </rPr>
      <t>[R3]</t>
    </r>
    <r>
      <rPr>
        <b/>
        <i/>
        <sz val="11"/>
        <color rgb="FFC65911"/>
        <rFont val="Calibri"/>
        <family val="2"/>
      </rPr>
      <t xml:space="preserve"> as applicable for each DMC —</t>
    </r>
  </si>
  <si>
    <r>
      <rPr>
        <vertAlign val="superscript"/>
        <sz val="11"/>
        <color rgb="FFC65911"/>
        <rFont val="Calibri"/>
        <family val="2"/>
      </rPr>
      <t>[R1]</t>
    </r>
    <r>
      <rPr>
        <sz val="11"/>
        <color indexed="8"/>
        <rFont val="Calibri"/>
        <family val="2"/>
      </rPr>
      <t xml:space="preserve"> Long-term ADB-financed commitments </t>
    </r>
    <r>
      <rPr>
        <sz val="11"/>
        <rFont val="Calibri"/>
        <family val="2"/>
      </rPr>
      <t>from private sector programs</t>
    </r>
    <r>
      <rPr>
        <sz val="11"/>
        <color indexed="8"/>
        <rFont val="Calibri"/>
        <family val="2"/>
      </rPr>
      <t xml:space="preserve"> with maturity of 365 days or more.</t>
    </r>
  </si>
  <si>
    <r>
      <rPr>
        <vertAlign val="superscript"/>
        <sz val="11"/>
        <color rgb="FFC65911"/>
        <rFont val="Calibri"/>
        <family val="2"/>
      </rPr>
      <t>[R2]</t>
    </r>
    <r>
      <rPr>
        <sz val="11"/>
        <color indexed="8"/>
        <rFont val="Calibri"/>
        <family val="2"/>
      </rPr>
      <t xml:space="preserve"> Short-term ADB-financed commitm</t>
    </r>
    <r>
      <rPr>
        <sz val="11"/>
        <rFont val="Calibri"/>
        <family val="2"/>
      </rPr>
      <t>ents from private sector programs</t>
    </r>
    <r>
      <rPr>
        <sz val="11"/>
        <color indexed="8"/>
        <rFont val="Calibri"/>
        <family val="2"/>
      </rPr>
      <t xml:space="preserve"> with maturity of less than 365 days.</t>
    </r>
  </si>
  <si>
    <r>
      <rPr>
        <vertAlign val="superscript"/>
        <sz val="11"/>
        <color rgb="FFC65911"/>
        <rFont val="Calibri"/>
        <family val="2"/>
      </rPr>
      <t>[R3]</t>
    </r>
    <r>
      <rPr>
        <sz val="11"/>
        <color indexed="8"/>
        <rFont val="Calibri"/>
        <family val="2"/>
      </rPr>
      <t xml:space="preserve"> ADB-financed commitments </t>
    </r>
    <r>
      <rPr>
        <sz val="11"/>
        <rFont val="Calibri"/>
        <family val="2"/>
      </rPr>
      <t>from private sector programs</t>
    </r>
    <r>
      <rPr>
        <sz val="11"/>
        <color indexed="8"/>
        <rFont val="Calibri"/>
        <family val="2"/>
      </rPr>
      <t xml:space="preserve"> of which </t>
    </r>
    <r>
      <rPr>
        <b/>
        <i/>
        <sz val="11"/>
        <color rgb="FFC65911"/>
        <rFont val="Calibri"/>
        <family val="2"/>
      </rPr>
      <t>[Short term amount]</t>
    </r>
    <r>
      <rPr>
        <sz val="11"/>
        <color indexed="8"/>
        <rFont val="Calibri"/>
        <family val="2"/>
      </rPr>
      <t xml:space="preserve"> is short term (with maturity of less than 365 days).</t>
    </r>
  </si>
  <si>
    <t>⮜ See Table A below for [Short term amount] values.</t>
  </si>
  <si>
    <t>Table A</t>
  </si>
  <si>
    <t>DMC</t>
  </si>
  <si>
    <t>[Short term amount]</t>
  </si>
  <si>
    <t>$672.28 million</t>
  </si>
  <si>
    <t>$11.04 million</t>
  </si>
  <si>
    <t>$45.13 million</t>
  </si>
  <si>
    <t>$13.48 million</t>
  </si>
  <si>
    <t>$6.81 million</t>
  </si>
  <si>
    <t>$18.09 million</t>
  </si>
  <si>
    <t>$122.23 million</t>
  </si>
  <si>
    <t>$547.41 million</t>
  </si>
  <si>
    <r>
      <rPr>
        <b/>
        <i/>
        <sz val="11"/>
        <color theme="1"/>
        <rFont val="Calibri"/>
        <family val="2"/>
        <scheme val="minor"/>
      </rPr>
      <t>[Table 2]</t>
    </r>
    <r>
      <rPr>
        <b/>
        <sz val="11"/>
        <color theme="1"/>
        <rFont val="Calibri"/>
        <family val="2"/>
        <scheme val="minor"/>
      </rPr>
      <t xml:space="preserve"> Cumulative Commitments</t>
    </r>
    <r>
      <rPr>
        <vertAlign val="superscript"/>
        <sz val="11"/>
        <color theme="1"/>
        <rFont val="Calibri"/>
        <family val="2"/>
        <scheme val="minor"/>
      </rPr>
      <t>a,b,c,d</t>
    </r>
  </si>
  <si>
    <t>1 Loan</t>
  </si>
  <si>
    <t>2 Grant</t>
  </si>
  <si>
    <t>3 Equity</t>
  </si>
  <si>
    <t>4 Guarantee</t>
  </si>
  <si>
    <t>5 TA</t>
  </si>
  <si>
    <t>6 TSCFP/MFP</t>
  </si>
  <si>
    <t>DMC/Sector</t>
  </si>
  <si>
    <t>No.</t>
  </si>
  <si>
    <r>
      <t>Total Amount ($million)</t>
    </r>
    <r>
      <rPr>
        <vertAlign val="superscript"/>
        <sz val="11"/>
        <color theme="1"/>
        <rFont val="Calibri"/>
        <family val="2"/>
        <scheme val="minor"/>
      </rPr>
      <t>e</t>
    </r>
  </si>
  <si>
    <r>
      <t>% of Total Amount</t>
    </r>
    <r>
      <rPr>
        <vertAlign val="superscript"/>
        <sz val="11"/>
        <color theme="1"/>
        <rFont val="Calibri"/>
        <family val="2"/>
        <scheme val="minor"/>
      </rPr>
      <t>e</t>
    </r>
  </si>
  <si>
    <t>Total Amount ($million)</t>
  </si>
  <si>
    <t>Project and Technical Assistance</t>
  </si>
  <si>
    <t>Agriculture, Natural Resources, and Rural Development</t>
  </si>
  <si>
    <t>Education</t>
  </si>
  <si>
    <t>Energy</t>
  </si>
  <si>
    <t>Finance</t>
  </si>
  <si>
    <t>Health</t>
  </si>
  <si>
    <t>Industry and Trade</t>
  </si>
  <si>
    <t>Information and Communication Technology</t>
  </si>
  <si>
    <t>Multisector</t>
  </si>
  <si>
    <t>Public Sector Management</t>
  </si>
  <si>
    <t>Transport</t>
  </si>
  <si>
    <t>Water and Other Urban Infrastructure and Services</t>
  </si>
  <si>
    <r>
      <t>Trade and Supply Chain Finance Program</t>
    </r>
    <r>
      <rPr>
        <vertAlign val="superscript"/>
        <sz val="11"/>
        <rFont val="Calibri"/>
        <family val="2"/>
        <scheme val="minor"/>
      </rPr>
      <t>[R2]</t>
    </r>
  </si>
  <si>
    <r>
      <t>Trade and Supply Chain Finance Program</t>
    </r>
    <r>
      <rPr>
        <vertAlign val="superscript"/>
        <sz val="11"/>
        <rFont val="Calibri"/>
        <family val="2"/>
        <scheme val="minor"/>
      </rPr>
      <t>[R3]</t>
    </r>
  </si>
  <si>
    <r>
      <t>Trade and Supply Chain Finance Program and Microfinance Program</t>
    </r>
    <r>
      <rPr>
        <vertAlign val="superscript"/>
        <sz val="11"/>
        <rFont val="Calibri"/>
        <family val="2"/>
        <scheme val="minor"/>
      </rPr>
      <t>[R3]</t>
    </r>
  </si>
  <si>
    <t>Brunei Darussalam</t>
  </si>
  <si>
    <t>Industry and trade</t>
  </si>
  <si>
    <t>Hong Kong, China</t>
  </si>
  <si>
    <t>Korea, Republic of</t>
  </si>
  <si>
    <t>Myanmar</t>
  </si>
  <si>
    <r>
      <t>Trade and Supply Chain Finance Program and Microfinance Program</t>
    </r>
    <r>
      <rPr>
        <vertAlign val="superscript"/>
        <sz val="11"/>
        <color theme="1"/>
        <rFont val="Calibri"/>
        <family val="2"/>
        <scheme val="minor"/>
      </rPr>
      <t>[R3]</t>
    </r>
  </si>
  <si>
    <r>
      <t>Trade</t>
    </r>
    <r>
      <rPr>
        <b/>
        <strike/>
        <sz val="11"/>
        <color rgb="FFFF0000"/>
        <rFont val="Calibri"/>
        <family val="2"/>
        <scheme val="minor"/>
      </rPr>
      <t xml:space="preserve"> </t>
    </r>
    <r>
      <rPr>
        <b/>
        <sz val="11"/>
        <color theme="1"/>
        <rFont val="Calibri"/>
        <family val="2"/>
        <scheme val="minor"/>
      </rPr>
      <t>and Supply Chain Finance</t>
    </r>
    <r>
      <rPr>
        <b/>
        <sz val="11"/>
        <rFont val="Calibri"/>
        <family val="2"/>
        <scheme val="minor"/>
      </rPr>
      <t xml:space="preserve"> Program</t>
    </r>
    <r>
      <rPr>
        <vertAlign val="superscript"/>
        <sz val="11"/>
        <color theme="1"/>
        <rFont val="Calibri"/>
        <family val="2"/>
        <scheme val="minor"/>
      </rPr>
      <t>[R3]</t>
    </r>
  </si>
  <si>
    <t>Singapore</t>
  </si>
  <si>
    <t>Taipei,China</t>
  </si>
  <si>
    <t>- = nil, 0.00 = less than 0.005%, DMC = developing member country, TA = technical assistance.</t>
  </si>
  <si>
    <r>
      <rPr>
        <vertAlign val="superscript"/>
        <sz val="11"/>
        <color rgb="FF000000"/>
        <rFont val="Calibri"/>
        <family val="2"/>
        <scheme val="minor"/>
      </rPr>
      <t>a</t>
    </r>
    <r>
      <rPr>
        <sz val="11"/>
        <color indexed="8"/>
        <rFont val="Calibri"/>
        <family val="2"/>
        <scheme val="minor"/>
      </rPr>
      <t xml:space="preserve"> Grants and TA include ADB-administered coﬁnancing.</t>
    </r>
  </si>
  <si>
    <r>
      <rPr>
        <vertAlign val="superscript"/>
        <sz val="11"/>
        <color rgb="FF000000"/>
        <rFont val="Calibri"/>
        <family val="2"/>
        <scheme val="minor"/>
      </rPr>
      <t>b</t>
    </r>
    <r>
      <rPr>
        <sz val="11"/>
        <color indexed="8"/>
        <rFont val="Calibri"/>
        <family val="2"/>
        <scheme val="minor"/>
      </rPr>
      <t xml:space="preserve"> </t>
    </r>
    <r>
      <rPr>
        <b/>
        <i/>
        <sz val="11"/>
        <color rgb="FFC65911"/>
        <rFont val="Calibri"/>
        <family val="2"/>
        <scheme val="minor"/>
      </rPr>
      <t>⮜ See Table B below for [Footnote b text] values.</t>
    </r>
  </si>
  <si>
    <r>
      <rPr>
        <vertAlign val="superscript"/>
        <sz val="11"/>
        <color rgb="FF000000"/>
        <rFont val="Calibri"/>
        <family val="2"/>
        <scheme val="minor"/>
      </rPr>
      <t>c</t>
    </r>
    <r>
      <rPr>
        <sz val="11"/>
        <color indexed="8"/>
        <rFont val="Calibri"/>
        <family val="2"/>
        <scheme val="minor"/>
      </rPr>
      <t xml:space="preserve"> Using primary sector in the reporting of commitments.</t>
    </r>
  </si>
  <si>
    <r>
      <rPr>
        <vertAlign val="superscript"/>
        <sz val="11"/>
        <color rgb="FF000000"/>
        <rFont val="Calibri"/>
        <family val="2"/>
        <scheme val="minor"/>
      </rPr>
      <t>d</t>
    </r>
    <r>
      <rPr>
        <sz val="11"/>
        <color indexed="8"/>
        <rFont val="Calibri"/>
        <family val="2"/>
        <scheme val="minor"/>
      </rPr>
      <t xml:space="preserve"> From 2020, financing for TA projects with regional coverage is distributed to their specific DMCs where breakdown is available.</t>
    </r>
  </si>
  <si>
    <r>
      <rPr>
        <vertAlign val="superscript"/>
        <sz val="11"/>
        <color rgb="FF000000"/>
        <rFont val="Calibri"/>
        <family val="2"/>
        <scheme val="minor"/>
      </rPr>
      <t>e</t>
    </r>
    <r>
      <rPr>
        <sz val="11"/>
        <color indexed="8"/>
        <rFont val="Calibri"/>
        <family val="2"/>
        <scheme val="minor"/>
      </rPr>
      <t xml:space="preserve"> Numbers may not sum precisely because of rounding.</t>
    </r>
  </si>
  <si>
    <r>
      <rPr>
        <vertAlign val="superscript"/>
        <sz val="11"/>
        <rFont val="Calibri"/>
        <family val="2"/>
        <scheme val="minor"/>
      </rPr>
      <t>f</t>
    </r>
    <r>
      <rPr>
        <b/>
        <sz val="11"/>
        <color theme="5" tint="-0.249977111117893"/>
        <rFont val="Calibri"/>
        <family val="2"/>
        <scheme val="minor"/>
      </rPr>
      <t xml:space="preserve"> </t>
    </r>
    <r>
      <rPr>
        <b/>
        <i/>
        <sz val="11"/>
        <color rgb="FFC65911"/>
        <rFont val="Calibri"/>
        <family val="2"/>
        <scheme val="minor"/>
      </rPr>
      <t xml:space="preserve">Note: Please see respective footnotes for </t>
    </r>
    <r>
      <rPr>
        <b/>
        <i/>
        <vertAlign val="superscript"/>
        <sz val="11"/>
        <color rgb="FFC65911"/>
        <rFont val="Calibri"/>
        <family val="2"/>
        <scheme val="minor"/>
      </rPr>
      <t>[R1]</t>
    </r>
    <r>
      <rPr>
        <b/>
        <i/>
        <sz val="11"/>
        <color rgb="FFC65911"/>
        <rFont val="Calibri"/>
        <family val="2"/>
        <scheme val="minor"/>
      </rPr>
      <t>,</t>
    </r>
    <r>
      <rPr>
        <b/>
        <i/>
        <vertAlign val="superscript"/>
        <sz val="11"/>
        <color rgb="FFC65911"/>
        <rFont val="Calibri"/>
        <family val="2"/>
        <scheme val="minor"/>
      </rPr>
      <t xml:space="preserve"> [R2]</t>
    </r>
    <r>
      <rPr>
        <b/>
        <i/>
        <sz val="11"/>
        <color rgb="FFC65911"/>
        <rFont val="Calibri"/>
        <family val="2"/>
        <scheme val="minor"/>
      </rPr>
      <t xml:space="preserve"> or </t>
    </r>
    <r>
      <rPr>
        <b/>
        <i/>
        <vertAlign val="superscript"/>
        <sz val="11"/>
        <color rgb="FFC65911"/>
        <rFont val="Calibri"/>
        <family val="2"/>
        <scheme val="minor"/>
      </rPr>
      <t>[R3]</t>
    </r>
    <r>
      <rPr>
        <b/>
        <i/>
        <sz val="11"/>
        <color rgb="FFC65911"/>
        <rFont val="Calibri"/>
        <family val="2"/>
        <scheme val="minor"/>
      </rPr>
      <t xml:space="preserve"> as applicable for each DMC —</t>
    </r>
  </si>
  <si>
    <r>
      <rPr>
        <vertAlign val="superscript"/>
        <sz val="11"/>
        <color rgb="FFC65911"/>
        <rFont val="Calibri"/>
        <family val="2"/>
        <scheme val="minor"/>
      </rPr>
      <t>[R1]</t>
    </r>
    <r>
      <rPr>
        <sz val="11"/>
        <color indexed="8"/>
        <rFont val="Calibri"/>
        <family val="2"/>
        <scheme val="minor"/>
      </rPr>
      <t xml:space="preserve"> Long-term ADB-financed commitments </t>
    </r>
    <r>
      <rPr>
        <sz val="11"/>
        <rFont val="Calibri"/>
        <family val="2"/>
        <scheme val="minor"/>
      </rPr>
      <t>from private sector programs</t>
    </r>
    <r>
      <rPr>
        <sz val="11"/>
        <color indexed="8"/>
        <rFont val="Calibri"/>
        <family val="2"/>
        <scheme val="minor"/>
      </rPr>
      <t xml:space="preserve"> with maturity of 365 days or more.</t>
    </r>
  </si>
  <si>
    <r>
      <rPr>
        <vertAlign val="superscript"/>
        <sz val="11"/>
        <color rgb="FFC65911"/>
        <rFont val="Calibri"/>
        <family val="2"/>
        <scheme val="minor"/>
      </rPr>
      <t>[R2]</t>
    </r>
    <r>
      <rPr>
        <sz val="11"/>
        <color indexed="8"/>
        <rFont val="Calibri"/>
        <family val="2"/>
        <scheme val="minor"/>
      </rPr>
      <t xml:space="preserve"> Short-term ADB-financed commitments </t>
    </r>
    <r>
      <rPr>
        <sz val="11"/>
        <rFont val="Calibri"/>
        <family val="2"/>
        <scheme val="minor"/>
      </rPr>
      <t>from private sector programs</t>
    </r>
    <r>
      <rPr>
        <sz val="11"/>
        <color indexed="8"/>
        <rFont val="Calibri"/>
        <family val="2"/>
        <scheme val="minor"/>
      </rPr>
      <t xml:space="preserve"> with maturity of less than 365 days.</t>
    </r>
  </si>
  <si>
    <r>
      <rPr>
        <vertAlign val="superscript"/>
        <sz val="11"/>
        <color rgb="FFC65911"/>
        <rFont val="Calibri"/>
        <family val="2"/>
        <scheme val="minor"/>
      </rPr>
      <t>[R3]</t>
    </r>
    <r>
      <rPr>
        <sz val="11"/>
        <color indexed="8"/>
        <rFont val="Calibri"/>
        <family val="2"/>
        <scheme val="minor"/>
      </rPr>
      <t xml:space="preserve"> ADB-financed commitments </t>
    </r>
    <r>
      <rPr>
        <sz val="11"/>
        <rFont val="Calibri"/>
        <family val="2"/>
        <scheme val="minor"/>
      </rPr>
      <t>from private sector programs</t>
    </r>
    <r>
      <rPr>
        <sz val="11"/>
        <color indexed="8"/>
        <rFont val="Calibri"/>
        <family val="2"/>
        <scheme val="minor"/>
      </rPr>
      <t xml:space="preserve"> of which </t>
    </r>
    <r>
      <rPr>
        <b/>
        <i/>
        <sz val="11"/>
        <color rgb="FFC65911"/>
        <rFont val="Calibri"/>
        <family val="2"/>
        <scheme val="minor"/>
      </rPr>
      <t>[Short term amount]</t>
    </r>
    <r>
      <rPr>
        <sz val="11"/>
        <color indexed="8"/>
        <rFont val="Calibri"/>
        <family val="2"/>
        <scheme val="minor"/>
      </rPr>
      <t xml:space="preserve"> is short term (with maturity of less than 365 days).</t>
    </r>
  </si>
  <si>
    <t>$53.13 million</t>
  </si>
  <si>
    <t>$26.23 million</t>
  </si>
  <si>
    <t>$3.82 billion</t>
  </si>
  <si>
    <t>$13.05 million</t>
  </si>
  <si>
    <t>$101.44 million</t>
  </si>
  <si>
    <t>$615.59 million</t>
  </si>
  <si>
    <t>$608.60 million</t>
  </si>
  <si>
    <t>$5.12 million</t>
  </si>
  <si>
    <t>$583.89 thousand</t>
  </si>
  <si>
    <t>$138.87 million</t>
  </si>
  <si>
    <t>$7.03 million</t>
  </si>
  <si>
    <t>$73.72 million</t>
  </si>
  <si>
    <t>$10.00 billion</t>
  </si>
  <si>
    <t>$91.34 million</t>
  </si>
  <si>
    <t>$2.06 billion</t>
  </si>
  <si>
    <t>$10.19 million</t>
  </si>
  <si>
    <t>$789.33 million</t>
  </si>
  <si>
    <t>$6.17 billion</t>
  </si>
  <si>
    <t>Table B</t>
  </si>
  <si>
    <t>[Foonote b text]</t>
  </si>
  <si>
    <t>Includes loans, grants, TA, and private sector programs.</t>
  </si>
  <si>
    <t>Includes loans, grants, equity investments, TA, and private sector programs.</t>
  </si>
  <si>
    <t>Includes loans, grants, guarantees, TA, and private sector programs.</t>
  </si>
  <si>
    <t>Includes TA.</t>
  </si>
  <si>
    <t>Includes loans, grants, equity investments, guarantees, TA, and private sector programs.</t>
  </si>
  <si>
    <t>Includes loans, grants, and TA.</t>
  </si>
  <si>
    <t>Includes loans.</t>
  </si>
  <si>
    <t>Includes loans and TA.</t>
  </si>
  <si>
    <t>Includes loans, grants, guarantees, and TA.</t>
  </si>
  <si>
    <t>Includes loans, TA, and private sector programs.</t>
  </si>
  <si>
    <t>Includes loans, grants, equity investments, and TA.</t>
  </si>
  <si>
    <t>Includes grants and TA.</t>
  </si>
  <si>
    <t>Regional</t>
  </si>
  <si>
    <t>Region/Country</t>
  </si>
  <si>
    <t>OCR</t>
  </si>
  <si>
    <t>ADF</t>
  </si>
  <si>
    <t>Other Special Funds</t>
  </si>
  <si>
    <r>
      <t>Subtotal</t>
    </r>
    <r>
      <rPr>
        <b/>
        <vertAlign val="superscript"/>
        <sz val="11"/>
        <color theme="1"/>
        <rFont val="Arial"/>
        <family val="2"/>
      </rPr>
      <t>1</t>
    </r>
  </si>
  <si>
    <t>Cofinancing</t>
  </si>
  <si>
    <t>COL</t>
  </si>
  <si>
    <r>
      <t>Subtotal</t>
    </r>
    <r>
      <rPr>
        <vertAlign val="superscript"/>
        <sz val="11"/>
        <color theme="1"/>
        <rFont val="Arial"/>
        <family val="2"/>
      </rPr>
      <t>2</t>
    </r>
  </si>
  <si>
    <t>MFP</t>
  </si>
  <si>
    <t>SCFP</t>
  </si>
  <si>
    <t>TFP</t>
  </si>
  <si>
    <t>TASF</t>
  </si>
  <si>
    <t>TA Grants</t>
  </si>
  <si>
    <t>Project Cofinancing</t>
  </si>
  <si>
    <t>TA Cofinancing</t>
  </si>
  <si>
    <r>
      <t>Loans</t>
    </r>
    <r>
      <rPr>
        <vertAlign val="superscript"/>
        <sz val="11"/>
        <color theme="1"/>
        <rFont val="Arial"/>
        <family val="2"/>
      </rPr>
      <t>1</t>
    </r>
  </si>
  <si>
    <t>Central and West Asia</t>
  </si>
  <si>
    <t>TOTAL (ALL)</t>
  </si>
  <si>
    <t>$ million</t>
  </si>
  <si>
    <t>$ billion</t>
  </si>
  <si>
    <t>SUBTOTAL (OCR, ADF and OSF)</t>
  </si>
  <si>
    <t>AFG</t>
  </si>
  <si>
    <t>ARM</t>
  </si>
  <si>
    <t>AZE</t>
  </si>
  <si>
    <t>GEO</t>
  </si>
  <si>
    <t>KAZ</t>
  </si>
  <si>
    <t>KGZ</t>
  </si>
  <si>
    <t>PAK</t>
  </si>
  <si>
    <t>TAJ</t>
  </si>
  <si>
    <t>TKM</t>
  </si>
  <si>
    <t>UZB</t>
  </si>
  <si>
    <t>South Asia</t>
  </si>
  <si>
    <t>BAN</t>
  </si>
  <si>
    <t>BHU</t>
  </si>
  <si>
    <t>IND</t>
  </si>
  <si>
    <t>MLD</t>
  </si>
  <si>
    <t>NEP</t>
  </si>
  <si>
    <t>SRI</t>
  </si>
  <si>
    <t>East Asia</t>
  </si>
  <si>
    <t>PRC</t>
  </si>
  <si>
    <t>MON</t>
  </si>
  <si>
    <t>Pacific</t>
  </si>
  <si>
    <t>COO</t>
  </si>
  <si>
    <t>FSM</t>
  </si>
  <si>
    <t>FIJ</t>
  </si>
  <si>
    <t>Fiji Islands</t>
  </si>
  <si>
    <t>KIR</t>
  </si>
  <si>
    <t>RMI</t>
  </si>
  <si>
    <t>NAU</t>
  </si>
  <si>
    <t>NIU</t>
  </si>
  <si>
    <t>PAL</t>
  </si>
  <si>
    <t>PNG</t>
  </si>
  <si>
    <t>SAM</t>
  </si>
  <si>
    <t>SOL</t>
  </si>
  <si>
    <t>TIM</t>
  </si>
  <si>
    <r>
      <t>Timor-Leste</t>
    </r>
    <r>
      <rPr>
        <vertAlign val="superscript"/>
        <sz val="11"/>
        <color theme="1"/>
        <rFont val="Arial"/>
        <family val="2"/>
      </rPr>
      <t>3</t>
    </r>
  </si>
  <si>
    <t>Lao People's Democratic Republic</t>
  </si>
  <si>
    <t>TON</t>
  </si>
  <si>
    <t>TUV</t>
  </si>
  <si>
    <t>VAN</t>
  </si>
  <si>
    <t>Southeast Asia</t>
  </si>
  <si>
    <t>CAM</t>
  </si>
  <si>
    <t>Timor-Leste3</t>
  </si>
  <si>
    <t>INO</t>
  </si>
  <si>
    <t>LAO</t>
  </si>
  <si>
    <t>MAL</t>
  </si>
  <si>
    <t>MYA</t>
  </si>
  <si>
    <t>PHI</t>
  </si>
  <si>
    <t>THA</t>
  </si>
  <si>
    <t>VIE</t>
  </si>
  <si>
    <t>REG</t>
  </si>
  <si>
    <t>Grand Total</t>
  </si>
  <si>
    <r>
      <t>Loans, Grants, Equity Investments and Guarantees Operations (OCR, ADF, and Other Special Funds): 2011-2020</t>
    </r>
    <r>
      <rPr>
        <b/>
        <vertAlign val="superscript"/>
        <sz val="11"/>
        <color theme="1"/>
        <rFont val="Arial"/>
        <family val="2"/>
      </rPr>
      <t>1</t>
    </r>
  </si>
  <si>
    <t>1 Figures exclude dropped or cancelled loans, grants, equities and guarantees prior to signing.</t>
  </si>
  <si>
    <t>check against approvals database</t>
  </si>
  <si>
    <t>compile</t>
  </si>
  <si>
    <t>CWRD</t>
  </si>
  <si>
    <t>EARD</t>
  </si>
  <si>
    <t>PARD</t>
  </si>
  <si>
    <t>SARD</t>
  </si>
  <si>
    <t>SERD</t>
  </si>
  <si>
    <t>PSOD</t>
  </si>
  <si>
    <t>SDCC</t>
  </si>
  <si>
    <t>ERCD</t>
  </si>
  <si>
    <t>check firm high</t>
  </si>
  <si>
    <t>check addition formula (some are manually entered</t>
  </si>
  <si>
    <t>expand TASF</t>
  </si>
  <si>
    <t>RETA breakdown</t>
  </si>
  <si>
    <t>check notifications</t>
  </si>
  <si>
    <t>board calendar</t>
  </si>
  <si>
    <t>add in note (need to split long term short term by program by DMC projected for the full year)</t>
  </si>
  <si>
    <t>2021 commercial cofin</t>
  </si>
  <si>
    <t>check against covid</t>
  </si>
  <si>
    <t>check cofin modality (for SOP document)</t>
  </si>
  <si>
    <t>harmonize cofin fund name</t>
  </si>
  <si>
    <t>sort</t>
  </si>
  <si>
    <t>formula</t>
  </si>
  <si>
    <t>add in note (RETA breakdown and firm high)</t>
  </si>
  <si>
    <t>add remarks</t>
  </si>
  <si>
    <t>transfer to template</t>
  </si>
  <si>
    <t>split by sheets</t>
  </si>
  <si>
    <t>email message</t>
  </si>
  <si>
    <t>when prelim SOP file is circulated for review</t>
  </si>
  <si>
    <t>2020 cofin</t>
  </si>
  <si>
    <t>2020 psod</t>
  </si>
  <si>
    <t>2016 Total</t>
  </si>
  <si>
    <t>2017 Total</t>
  </si>
  <si>
    <t>2018 Total</t>
  </si>
  <si>
    <t>2019 Total</t>
  </si>
  <si>
    <t>2020 Total</t>
  </si>
  <si>
    <t>Afghanistan2</t>
  </si>
  <si>
    <t>Myanmar3</t>
  </si>
  <si>
    <t>Timor-Leste4</t>
  </si>
  <si>
    <t>ADB Operations Total</t>
  </si>
  <si>
    <t>Cofinancing Total</t>
  </si>
  <si>
    <t>COVID-19 Response</t>
  </si>
  <si>
    <t>Non-COVID-19</t>
  </si>
  <si>
    <t>Total ADB</t>
  </si>
  <si>
    <t>Total Cofinancing</t>
  </si>
  <si>
    <t>APVAX</t>
  </si>
  <si>
    <t>CPRO</t>
  </si>
  <si>
    <t>Other Covid-19 Support</t>
  </si>
  <si>
    <r>
      <t>Afghanistan</t>
    </r>
    <r>
      <rPr>
        <vertAlign val="superscript"/>
        <sz val="11"/>
        <color theme="1"/>
        <rFont val="Arial"/>
        <family val="2"/>
      </rPr>
      <t>1</t>
    </r>
  </si>
  <si>
    <t>HKG</t>
  </si>
  <si>
    <t>KOR</t>
  </si>
  <si>
    <t>TAP</t>
  </si>
  <si>
    <t>BRU</t>
  </si>
  <si>
    <r>
      <t>Myanmar</t>
    </r>
    <r>
      <rPr>
        <vertAlign val="superscript"/>
        <sz val="11"/>
        <color theme="1"/>
        <rFont val="Arial"/>
        <family val="2"/>
      </rPr>
      <t>2</t>
    </r>
  </si>
  <si>
    <t>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</si>
</sst>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_);_(* \(#,##0.0\);_(* &quot;-&quot;??_);_(@_)"/>
    <numFmt numFmtId="165" formatCode="_(* #,##0.0_);_(* \(#,##0.0\);_(* &quot;-&quot;?_);_(@_)"/>
    <numFmt numFmtId="166" formatCode="_(* #,##0.00_);_(* \(#,##0.00\);_(* &quot;-&quot;?_);_(@_)"/>
  </numFmts>
  <fonts count="46">
    <font>
      <sz val="10"/>
      <color indexed="8"/>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0"/>
      <color indexed="8"/>
      <name val="Arial"/>
      <family val="2"/>
    </font>
    <font>
      <sz val="10"/>
      <color theme="1"/>
      <name val="Tahoma"/>
      <family val="2"/>
    </font>
    <font>
      <b/>
      <sz val="11"/>
      <name val="Arial"/>
      <family val="2"/>
    </font>
    <font>
      <sz val="11"/>
      <color theme="1"/>
      <name val="Arial"/>
      <family val="2"/>
    </font>
    <font>
      <b/>
      <sz val="11"/>
      <color theme="1"/>
      <name val="Arial"/>
      <family val="2"/>
    </font>
    <font>
      <b/>
      <vertAlign val="superscript"/>
      <sz val="11"/>
      <color theme="1"/>
      <name val="Arial"/>
      <family val="2"/>
    </font>
    <font>
      <vertAlign val="superscript"/>
      <sz val="11"/>
      <color theme="1"/>
      <name val="Arial"/>
      <family val="2"/>
    </font>
    <font>
      <b/>
      <sz val="11"/>
      <color theme="1"/>
      <name val="Calibri"/>
      <family val="2"/>
      <scheme val="minor"/>
    </font>
    <font>
      <sz val="11"/>
      <color indexed="8"/>
      <name val="Calibri"/>
      <family val="2"/>
    </font>
    <font>
      <b/>
      <sz val="11"/>
      <color theme="1"/>
      <name val="Calibri"/>
      <family val="2"/>
    </font>
    <font>
      <vertAlign val="superscript"/>
      <sz val="11"/>
      <color theme="1"/>
      <name val="Calibri"/>
      <family val="2"/>
      <scheme val="minor"/>
    </font>
    <font>
      <vertAlign val="superscript"/>
      <sz val="11"/>
      <color rgb="FF000000"/>
      <name val="Calibri"/>
      <family val="2"/>
    </font>
    <font>
      <sz val="11"/>
      <color indexed="8"/>
      <name val="Calibri"/>
      <family val="2"/>
      <scheme val="minor"/>
    </font>
    <font>
      <sz val="11"/>
      <name val="Calibri"/>
      <family val="2"/>
      <scheme val="minor"/>
    </font>
    <font>
      <b/>
      <sz val="11"/>
      <color rgb="FFFF0000"/>
      <name val="Calibri"/>
      <family val="2"/>
      <scheme val="minor"/>
    </font>
    <font>
      <b/>
      <i/>
      <sz val="11"/>
      <color theme="1"/>
      <name val="Calibri"/>
      <family val="2"/>
    </font>
    <font>
      <vertAlign val="superscript"/>
      <sz val="11"/>
      <name val="Calibri"/>
      <family val="2"/>
    </font>
    <font>
      <sz val="11"/>
      <name val="Calibri"/>
      <family val="2"/>
    </font>
    <font>
      <b/>
      <sz val="11"/>
      <color theme="9" tint="-0.249977111117893"/>
      <name val="Calibri"/>
      <family val="2"/>
    </font>
    <font>
      <b/>
      <sz val="11"/>
      <color theme="5" tint="-0.249977111117893"/>
      <name val="Calibri"/>
      <family val="2"/>
    </font>
    <font>
      <b/>
      <sz val="11"/>
      <color rgb="FFFF0000"/>
      <name val="Calibri"/>
      <family val="2"/>
    </font>
    <font>
      <sz val="11"/>
      <name val="Arial"/>
      <family val="2"/>
    </font>
    <font>
      <b/>
      <i/>
      <sz val="11"/>
      <color theme="1"/>
      <name val="Calibri"/>
      <family val="2"/>
      <scheme val="minor"/>
    </font>
    <font>
      <b/>
      <sz val="11"/>
      <name val="Calibri"/>
      <family val="2"/>
      <scheme val="minor"/>
    </font>
    <font>
      <b/>
      <strike/>
      <sz val="11"/>
      <color rgb="FFFF0000"/>
      <name val="Calibri"/>
      <family val="2"/>
      <scheme val="minor"/>
    </font>
    <font>
      <vertAlign val="superscript"/>
      <sz val="11"/>
      <color rgb="FF000000"/>
      <name val="Calibri"/>
      <family val="2"/>
      <scheme val="minor"/>
    </font>
    <font>
      <b/>
      <sz val="11"/>
      <color theme="9" tint="-0.249977111117893"/>
      <name val="Calibri"/>
      <family val="2"/>
      <scheme val="minor"/>
    </font>
    <font>
      <b/>
      <sz val="11"/>
      <color theme="5" tint="-0.249977111117893"/>
      <name val="Calibri"/>
      <family val="2"/>
      <scheme val="minor"/>
    </font>
    <font>
      <vertAlign val="superscript"/>
      <sz val="11"/>
      <name val="Calibri"/>
      <family val="2"/>
      <scheme val="minor"/>
    </font>
    <font>
      <b/>
      <i/>
      <sz val="11"/>
      <color rgb="FFC65911"/>
      <name val="Calibri"/>
      <family val="2"/>
    </font>
    <font>
      <b/>
      <i/>
      <vertAlign val="superscript"/>
      <sz val="11"/>
      <color rgb="FFC65911"/>
      <name val="Calibri"/>
      <family val="2"/>
    </font>
    <font>
      <vertAlign val="superscript"/>
      <sz val="11"/>
      <color rgb="FFC65911"/>
      <name val="Calibri"/>
      <family val="2"/>
    </font>
    <font>
      <b/>
      <i/>
      <sz val="11"/>
      <color rgb="FFC65911"/>
      <name val="Calibri"/>
      <family val="2"/>
      <scheme val="minor"/>
    </font>
    <font>
      <sz val="11"/>
      <color rgb="FFC65911"/>
      <name val="Calibri"/>
      <family val="2"/>
      <scheme val="minor"/>
    </font>
    <font>
      <b/>
      <i/>
      <vertAlign val="superscript"/>
      <sz val="11"/>
      <color rgb="FFC65911"/>
      <name val="Calibri"/>
      <family val="2"/>
      <scheme val="minor"/>
    </font>
    <font>
      <vertAlign val="superscript"/>
      <sz val="11"/>
      <color rgb="FFC659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9" tint="0.39997558519241921"/>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right style="thin">
        <color indexed="64"/>
      </right>
      <top/>
      <bottom/>
      <diagonal/>
    </border>
    <border>
      <left style="thin">
        <color indexed="64"/>
      </left>
      <right/>
      <top/>
      <bottom/>
      <diagonal/>
    </border>
    <border>
      <left/>
      <right/>
      <top/>
      <bottom style="thin">
        <color theme="4" tint="0.39994506668294322"/>
      </bottom>
      <diagonal/>
    </border>
    <border>
      <left/>
      <right/>
      <top style="thin">
        <color theme="4" tint="0.39994506668294322"/>
      </top>
      <bottom/>
      <diagonal/>
    </border>
    <border>
      <left/>
      <right style="thin">
        <color theme="4" tint="0.39994506668294322"/>
      </right>
      <top/>
      <bottom/>
      <diagonal/>
    </border>
    <border>
      <left style="thin">
        <color theme="4" tint="0.39991454817346722"/>
      </left>
      <right/>
      <top/>
      <bottom style="thin">
        <color theme="4" tint="0.39994506668294322"/>
      </bottom>
      <diagonal/>
    </border>
    <border>
      <left/>
      <right style="thin">
        <color theme="4" tint="0.39994506668294322"/>
      </right>
      <top/>
      <bottom style="thin">
        <color theme="4" tint="0.39997558519241921"/>
      </bottom>
      <diagonal/>
    </border>
    <border>
      <left style="thin">
        <color theme="4" tint="0.39994506668294322"/>
      </left>
      <right/>
      <top/>
      <bottom style="thin">
        <color theme="4" tint="0.39997558519241921"/>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7558519241921"/>
      </bottom>
      <diagonal/>
    </border>
    <border>
      <left/>
      <right style="thin">
        <color theme="4" tint="0.39994506668294322"/>
      </right>
      <top style="thin">
        <color theme="4" tint="0.39994506668294322"/>
      </top>
      <bottom style="thin">
        <color theme="4" tint="0.39997558519241921"/>
      </bottom>
      <diagonal/>
    </border>
    <border>
      <left/>
      <right/>
      <top style="thin">
        <color theme="4" tint="0.39994506668294322"/>
      </top>
      <bottom style="thin">
        <color theme="4" tint="0.39997558519241921"/>
      </bottom>
      <diagonal/>
    </border>
  </borders>
  <cellStyleXfs count="19">
    <xf numFmtId="0" fontId="0" fillId="0" borderId="0"/>
    <xf numFmtId="0" fontId="9" fillId="0" borderId="0"/>
    <xf numFmtId="43" fontId="10" fillId="0" borderId="0" applyFont="0" applyFill="0" applyBorder="0" applyAlignment="0" applyProtection="0"/>
    <xf numFmtId="0" fontId="11" fillId="0" borderId="0"/>
    <xf numFmtId="0" fontId="11" fillId="0" borderId="0"/>
    <xf numFmtId="0" fontId="9" fillId="0" borderId="0"/>
    <xf numFmtId="43"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43" fontId="10" fillId="0" borderId="0" applyFont="0" applyFill="0" applyBorder="0" applyAlignment="0" applyProtection="0"/>
    <xf numFmtId="0" fontId="6" fillId="0" borderId="0"/>
    <xf numFmtId="0" fontId="5" fillId="0" borderId="0"/>
    <xf numFmtId="0" fontId="4" fillId="0" borderId="0"/>
    <xf numFmtId="0" fontId="31" fillId="0" borderId="0"/>
    <xf numFmtId="0" fontId="3" fillId="0" borderId="0"/>
    <xf numFmtId="0" fontId="2" fillId="0" borderId="0"/>
    <xf numFmtId="0" fontId="1" fillId="0" borderId="0"/>
  </cellStyleXfs>
  <cellXfs count="164">
    <xf numFmtId="0" fontId="0" fillId="0" borderId="0" xfId="0"/>
    <xf numFmtId="0" fontId="13" fillId="0" borderId="0" xfId="0" applyFont="1"/>
    <xf numFmtId="0" fontId="10" fillId="0" borderId="0" xfId="0" applyFont="1"/>
    <xf numFmtId="0" fontId="13" fillId="0" borderId="0" xfId="8" applyFont="1"/>
    <xf numFmtId="0" fontId="14" fillId="3" borderId="2" xfId="9" applyNumberFormat="1" applyFont="1" applyFill="1" applyBorder="1" applyAlignment="1">
      <alignment horizontal="center" vertical="center" wrapText="1"/>
    </xf>
    <xf numFmtId="164" fontId="14" fillId="3" borderId="2" xfId="9" applyNumberFormat="1" applyFont="1" applyFill="1" applyBorder="1" applyAlignment="1">
      <alignment horizontal="center" vertical="center" wrapText="1"/>
    </xf>
    <xf numFmtId="0" fontId="14" fillId="3" borderId="1" xfId="8" applyFont="1" applyFill="1" applyBorder="1" applyAlignment="1">
      <alignment horizontal="left" vertical="center"/>
    </xf>
    <xf numFmtId="165" fontId="14" fillId="3" borderId="1" xfId="9" applyNumberFormat="1" applyFont="1" applyFill="1" applyBorder="1" applyAlignment="1">
      <alignment horizontal="center" vertical="center"/>
    </xf>
    <xf numFmtId="2" fontId="13" fillId="0" borderId="0" xfId="8" applyNumberFormat="1" applyFont="1"/>
    <xf numFmtId="0" fontId="13" fillId="3" borderId="4" xfId="8" applyFont="1" applyFill="1" applyBorder="1" applyAlignment="1">
      <alignment horizontal="left" vertical="center"/>
    </xf>
    <xf numFmtId="165" fontId="13" fillId="3" borderId="4" xfId="8" applyNumberFormat="1" applyFont="1" applyFill="1" applyBorder="1"/>
    <xf numFmtId="165" fontId="13" fillId="3" borderId="4" xfId="9" applyNumberFormat="1" applyFont="1" applyFill="1" applyBorder="1" applyAlignment="1">
      <alignment horizontal="center" vertical="center"/>
    </xf>
    <xf numFmtId="0" fontId="13" fillId="0" borderId="0" xfId="8" applyFont="1" applyAlignment="1">
      <alignment horizontal="left" vertical="center"/>
    </xf>
    <xf numFmtId="165" fontId="13" fillId="0" borderId="0" xfId="9" applyNumberFormat="1" applyFont="1" applyFill="1" applyBorder="1" applyAlignment="1">
      <alignment horizontal="center" vertical="center"/>
    </xf>
    <xf numFmtId="165" fontId="13" fillId="0" borderId="0" xfId="8" applyNumberFormat="1" applyFont="1" applyAlignment="1">
      <alignment horizontal="left" vertical="center"/>
    </xf>
    <xf numFmtId="0" fontId="13" fillId="3" borderId="5" xfId="8" applyFont="1" applyFill="1" applyBorder="1" applyAlignment="1">
      <alignment horizontal="left" vertical="center"/>
    </xf>
    <xf numFmtId="165" fontId="13" fillId="3" borderId="5" xfId="9" applyNumberFormat="1" applyFont="1" applyFill="1" applyBorder="1" applyAlignment="1">
      <alignment horizontal="center" vertical="center"/>
    </xf>
    <xf numFmtId="165" fontId="14" fillId="3" borderId="1" xfId="8" applyNumberFormat="1" applyFont="1" applyFill="1" applyBorder="1"/>
    <xf numFmtId="165" fontId="13" fillId="0" borderId="0" xfId="8" applyNumberFormat="1" applyFont="1"/>
    <xf numFmtId="0" fontId="14" fillId="3" borderId="2" xfId="8" applyFont="1" applyFill="1" applyBorder="1"/>
    <xf numFmtId="165" fontId="14" fillId="4" borderId="2" xfId="8" applyNumberFormat="1" applyFont="1" applyFill="1" applyBorder="1"/>
    <xf numFmtId="166" fontId="13" fillId="0" borderId="0" xfId="8" applyNumberFormat="1" applyFont="1"/>
    <xf numFmtId="0" fontId="14" fillId="0" borderId="0" xfId="0" applyFont="1"/>
    <xf numFmtId="0" fontId="14" fillId="3" borderId="2" xfId="0" applyFont="1" applyFill="1" applyBorder="1" applyAlignment="1">
      <alignment vertical="center" wrapText="1"/>
    </xf>
    <xf numFmtId="0" fontId="14" fillId="3" borderId="1" xfId="2" applyNumberFormat="1" applyFont="1" applyFill="1" applyBorder="1" applyAlignment="1">
      <alignment horizontal="center" vertical="center" wrapText="1"/>
    </xf>
    <xf numFmtId="0" fontId="14" fillId="3" borderId="1" xfId="0" applyFont="1" applyFill="1" applyBorder="1" applyAlignment="1">
      <alignment horizontal="left" vertical="center"/>
    </xf>
    <xf numFmtId="0" fontId="13" fillId="3" borderId="4" xfId="0" applyFont="1" applyFill="1" applyBorder="1" applyAlignment="1">
      <alignment horizontal="left" vertical="center"/>
    </xf>
    <xf numFmtId="165" fontId="13" fillId="3" borderId="4" xfId="0" applyNumberFormat="1" applyFont="1" applyFill="1" applyBorder="1"/>
    <xf numFmtId="0" fontId="13" fillId="3" borderId="5" xfId="0" applyFont="1" applyFill="1" applyBorder="1" applyAlignment="1">
      <alignment horizontal="left" vertical="center"/>
    </xf>
    <xf numFmtId="0" fontId="14" fillId="3" borderId="2" xfId="0" applyFont="1" applyFill="1" applyBorder="1"/>
    <xf numFmtId="165" fontId="0" fillId="0" borderId="0" xfId="0" applyNumberFormat="1"/>
    <xf numFmtId="164" fontId="12" fillId="3" borderId="1" xfId="0" applyNumberFormat="1" applyFont="1" applyFill="1" applyBorder="1"/>
    <xf numFmtId="164" fontId="14" fillId="3" borderId="1" xfId="2" applyNumberFormat="1" applyFont="1" applyFill="1" applyBorder="1" applyAlignment="1">
      <alignment vertical="center"/>
    </xf>
    <xf numFmtId="165" fontId="14" fillId="3" borderId="1" xfId="2" applyNumberFormat="1" applyFont="1" applyFill="1" applyBorder="1" applyAlignment="1">
      <alignment horizontal="center" vertical="center"/>
    </xf>
    <xf numFmtId="164" fontId="13" fillId="3" borderId="4" xfId="0" applyNumberFormat="1" applyFont="1" applyFill="1" applyBorder="1"/>
    <xf numFmtId="165" fontId="13" fillId="3" borderId="4" xfId="0" quotePrefix="1" applyNumberFormat="1" applyFont="1" applyFill="1" applyBorder="1"/>
    <xf numFmtId="164" fontId="13" fillId="3" borderId="5" xfId="0" applyNumberFormat="1" applyFont="1" applyFill="1" applyBorder="1"/>
    <xf numFmtId="165" fontId="13" fillId="3" borderId="5" xfId="2" applyNumberFormat="1" applyFont="1" applyFill="1" applyBorder="1" applyAlignment="1">
      <alignment horizontal="center" vertical="center"/>
    </xf>
    <xf numFmtId="164" fontId="14" fillId="3" borderId="4" xfId="2" applyNumberFormat="1" applyFont="1" applyFill="1" applyBorder="1" applyAlignment="1">
      <alignment vertical="center"/>
    </xf>
    <xf numFmtId="165" fontId="14" fillId="3" borderId="1" xfId="0" applyNumberFormat="1" applyFont="1" applyFill="1" applyBorder="1"/>
    <xf numFmtId="165" fontId="13" fillId="3" borderId="5" xfId="0" applyNumberFormat="1" applyFont="1" applyFill="1" applyBorder="1"/>
    <xf numFmtId="165" fontId="14" fillId="3" borderId="2" xfId="0" applyNumberFormat="1" applyFont="1" applyFill="1" applyBorder="1"/>
    <xf numFmtId="0" fontId="17" fillId="6" borderId="0" xfId="0" applyFont="1" applyFill="1"/>
    <xf numFmtId="0" fontId="17" fillId="5" borderId="8" xfId="0" applyFont="1" applyFill="1" applyBorder="1"/>
    <xf numFmtId="0" fontId="0" fillId="6" borderId="0" xfId="0" applyFill="1"/>
    <xf numFmtId="0" fontId="17" fillId="5" borderId="9" xfId="0" applyFont="1" applyFill="1" applyBorder="1"/>
    <xf numFmtId="0" fontId="17" fillId="5" borderId="9" xfId="0" applyFont="1" applyFill="1" applyBorder="1" applyAlignment="1">
      <alignment horizontal="left"/>
    </xf>
    <xf numFmtId="0" fontId="6" fillId="0" borderId="0" xfId="12"/>
    <xf numFmtId="0" fontId="6" fillId="7" borderId="0" xfId="12" applyFill="1"/>
    <xf numFmtId="0" fontId="6" fillId="8" borderId="0" xfId="12" applyFill="1"/>
    <xf numFmtId="0" fontId="18" fillId="0" borderId="0" xfId="0" applyFont="1"/>
    <xf numFmtId="0" fontId="18" fillId="0" borderId="0" xfId="0" applyFont="1" applyAlignment="1">
      <alignment horizontal="left" indent="1"/>
    </xf>
    <xf numFmtId="0" fontId="19" fillId="5" borderId="8" xfId="0" applyFont="1" applyFill="1" applyBorder="1"/>
    <xf numFmtId="0" fontId="19" fillId="0" borderId="8" xfId="0" applyFont="1" applyBorder="1" applyAlignment="1">
      <alignment horizontal="left"/>
    </xf>
    <xf numFmtId="0" fontId="19" fillId="5" borderId="9" xfId="0" applyFont="1" applyFill="1" applyBorder="1" applyAlignment="1">
      <alignment horizontal="left"/>
    </xf>
    <xf numFmtId="0" fontId="19" fillId="0" borderId="0" xfId="0" applyFont="1" applyAlignment="1">
      <alignment horizontal="left"/>
    </xf>
    <xf numFmtId="0" fontId="18" fillId="0" borderId="9" xfId="0" applyFont="1" applyBorder="1" applyAlignment="1">
      <alignment horizontal="left" indent="1"/>
    </xf>
    <xf numFmtId="0" fontId="19" fillId="0" borderId="12" xfId="0" applyFont="1" applyBorder="1" applyAlignment="1">
      <alignment horizontal="left"/>
    </xf>
    <xf numFmtId="0" fontId="18" fillId="0" borderId="13" xfId="0" applyFont="1" applyBorder="1" applyAlignment="1">
      <alignment horizontal="left" indent="1"/>
    </xf>
    <xf numFmtId="43" fontId="19" fillId="0" borderId="8" xfId="0" applyNumberFormat="1" applyFont="1" applyBorder="1"/>
    <xf numFmtId="43" fontId="18" fillId="0" borderId="9" xfId="0" applyNumberFormat="1" applyFont="1" applyBorder="1"/>
    <xf numFmtId="43" fontId="19" fillId="0" borderId="12" xfId="0" applyNumberFormat="1" applyFont="1" applyBorder="1"/>
    <xf numFmtId="43" fontId="18" fillId="0" borderId="0" xfId="0" applyNumberFormat="1" applyFont="1"/>
    <xf numFmtId="43" fontId="18" fillId="0" borderId="13" xfId="0" applyNumberFormat="1" applyFont="1" applyBorder="1"/>
    <xf numFmtId="43" fontId="19" fillId="0" borderId="0" xfId="0" applyNumberFormat="1" applyFont="1"/>
    <xf numFmtId="43" fontId="19" fillId="5" borderId="9" xfId="0" applyNumberFormat="1" applyFont="1" applyFill="1" applyBorder="1"/>
    <xf numFmtId="0" fontId="19" fillId="0" borderId="0" xfId="0" applyFont="1" applyAlignment="1">
      <alignment wrapText="1"/>
    </xf>
    <xf numFmtId="0" fontId="18" fillId="0" borderId="0" xfId="0" quotePrefix="1" applyFont="1" applyAlignment="1">
      <alignment horizontal="left"/>
    </xf>
    <xf numFmtId="0" fontId="18" fillId="0" borderId="0" xfId="0" applyFont="1" applyAlignment="1">
      <alignment wrapText="1"/>
    </xf>
    <xf numFmtId="0" fontId="27" fillId="0" borderId="0" xfId="0" applyFont="1"/>
    <xf numFmtId="0" fontId="28" fillId="0" borderId="0" xfId="0" applyFont="1"/>
    <xf numFmtId="0" fontId="30" fillId="0" borderId="0" xfId="0" applyFont="1"/>
    <xf numFmtId="0" fontId="17" fillId="5" borderId="8" xfId="0" applyFont="1" applyFill="1" applyBorder="1" applyAlignment="1">
      <alignment horizontal="centerContinuous"/>
    </xf>
    <xf numFmtId="0" fontId="22" fillId="0" borderId="0" xfId="0" applyFont="1" applyAlignment="1">
      <alignment horizontal="left"/>
    </xf>
    <xf numFmtId="0" fontId="17" fillId="0" borderId="0" xfId="17" applyFont="1" applyAlignment="1">
      <alignment wrapText="1"/>
    </xf>
    <xf numFmtId="0" fontId="22" fillId="0" borderId="0" xfId="17" applyFont="1"/>
    <xf numFmtId="0" fontId="22" fillId="2" borderId="14" xfId="17" applyFont="1" applyFill="1" applyBorder="1"/>
    <xf numFmtId="0" fontId="17" fillId="5" borderId="12" xfId="17" applyFont="1" applyFill="1" applyBorder="1" applyAlignment="1">
      <alignment horizontal="centerContinuous"/>
    </xf>
    <xf numFmtId="0" fontId="17" fillId="5" borderId="15" xfId="17" applyFont="1" applyFill="1" applyBorder="1" applyAlignment="1">
      <alignment horizontal="centerContinuous"/>
    </xf>
    <xf numFmtId="0" fontId="17" fillId="5" borderId="8" xfId="17" applyFont="1" applyFill="1" applyBorder="1" applyAlignment="1">
      <alignment vertical="center"/>
    </xf>
    <xf numFmtId="0" fontId="17" fillId="5" borderId="8" xfId="17" applyFont="1" applyFill="1" applyBorder="1" applyAlignment="1">
      <alignment horizontal="center" vertical="center"/>
    </xf>
    <xf numFmtId="0" fontId="17" fillId="5" borderId="8" xfId="17" applyFont="1" applyFill="1" applyBorder="1" applyAlignment="1">
      <alignment horizontal="center" vertical="center" wrapText="1"/>
    </xf>
    <xf numFmtId="0" fontId="17" fillId="5" borderId="16" xfId="17" applyFont="1" applyFill="1" applyBorder="1" applyAlignment="1">
      <alignment horizontal="center" vertical="center"/>
    </xf>
    <xf numFmtId="0" fontId="17" fillId="5" borderId="17" xfId="17" applyFont="1" applyFill="1" applyBorder="1" applyAlignment="1">
      <alignment horizontal="center" vertical="center"/>
    </xf>
    <xf numFmtId="0" fontId="17" fillId="0" borderId="8" xfId="17" applyFont="1" applyBorder="1" applyAlignment="1">
      <alignment horizontal="left"/>
    </xf>
    <xf numFmtId="41" fontId="17" fillId="0" borderId="8" xfId="17" applyNumberFormat="1" applyFont="1" applyBorder="1"/>
    <xf numFmtId="43" fontId="17" fillId="0" borderId="8" xfId="17" applyNumberFormat="1" applyFont="1" applyBorder="1"/>
    <xf numFmtId="10" fontId="17" fillId="0" borderId="8" xfId="17" applyNumberFormat="1" applyFont="1" applyBorder="1"/>
    <xf numFmtId="0" fontId="17" fillId="0" borderId="0" xfId="17" applyFont="1" applyAlignment="1">
      <alignment horizontal="left" indent="1"/>
    </xf>
    <xf numFmtId="41" fontId="17" fillId="0" borderId="0" xfId="17" applyNumberFormat="1" applyFont="1"/>
    <xf numFmtId="43" fontId="17" fillId="0" borderId="0" xfId="17" applyNumberFormat="1" applyFont="1"/>
    <xf numFmtId="10" fontId="17" fillId="0" borderId="0" xfId="17" applyNumberFormat="1" applyFont="1"/>
    <xf numFmtId="0" fontId="17" fillId="0" borderId="0" xfId="17" applyFont="1" applyAlignment="1">
      <alignment horizontal="left"/>
    </xf>
    <xf numFmtId="0" fontId="22" fillId="0" borderId="0" xfId="17" applyFont="1" applyAlignment="1">
      <alignment horizontal="left" indent="2"/>
    </xf>
    <xf numFmtId="41" fontId="22" fillId="0" borderId="0" xfId="17" applyNumberFormat="1" applyFont="1"/>
    <xf numFmtId="43" fontId="22" fillId="0" borderId="0" xfId="17" applyNumberFormat="1" applyFont="1"/>
    <xf numFmtId="10" fontId="22" fillId="0" borderId="0" xfId="17" applyNumberFormat="1" applyFont="1"/>
    <xf numFmtId="0" fontId="2" fillId="0" borderId="0" xfId="17" applyAlignment="1">
      <alignment horizontal="left" indent="1"/>
    </xf>
    <xf numFmtId="0" fontId="2" fillId="0" borderId="0" xfId="17"/>
    <xf numFmtId="0" fontId="22" fillId="0" borderId="0" xfId="17" applyFont="1" applyAlignment="1">
      <alignment horizontal="left" indent="1"/>
    </xf>
    <xf numFmtId="10" fontId="2" fillId="0" borderId="0" xfId="17" applyNumberFormat="1"/>
    <xf numFmtId="41" fontId="33" fillId="0" borderId="8" xfId="17" applyNumberFormat="1" applyFont="1" applyBorder="1"/>
    <xf numFmtId="43" fontId="33" fillId="0" borderId="8" xfId="17" applyNumberFormat="1" applyFont="1" applyBorder="1"/>
    <xf numFmtId="10" fontId="33" fillId="0" borderId="8" xfId="17" applyNumberFormat="1" applyFont="1" applyBorder="1"/>
    <xf numFmtId="0" fontId="33" fillId="0" borderId="0" xfId="17" applyFont="1" applyAlignment="1">
      <alignment horizontal="left" indent="1"/>
    </xf>
    <xf numFmtId="41" fontId="33" fillId="0" borderId="0" xfId="17" applyNumberFormat="1" applyFont="1"/>
    <xf numFmtId="43" fontId="33" fillId="0" borderId="0" xfId="17" applyNumberFormat="1" applyFont="1"/>
    <xf numFmtId="10" fontId="33" fillId="0" borderId="0" xfId="17" applyNumberFormat="1" applyFont="1"/>
    <xf numFmtId="0" fontId="23" fillId="0" borderId="0" xfId="17" applyFont="1" applyAlignment="1">
      <alignment horizontal="left" indent="2"/>
    </xf>
    <xf numFmtId="10" fontId="23" fillId="0" borderId="0" xfId="17" applyNumberFormat="1" applyFont="1"/>
    <xf numFmtId="0" fontId="17" fillId="5" borderId="9" xfId="17" applyFont="1" applyFill="1" applyBorder="1" applyAlignment="1">
      <alignment horizontal="left"/>
    </xf>
    <xf numFmtId="41" fontId="33" fillId="5" borderId="9" xfId="17" applyNumberFormat="1" applyFont="1" applyFill="1" applyBorder="1"/>
    <xf numFmtId="43" fontId="33" fillId="5" borderId="9" xfId="17" applyNumberFormat="1" applyFont="1" applyFill="1" applyBorder="1"/>
    <xf numFmtId="43" fontId="17" fillId="5" borderId="9" xfId="17" applyNumberFormat="1" applyFont="1" applyFill="1" applyBorder="1"/>
    <xf numFmtId="0" fontId="36" fillId="0" borderId="0" xfId="17" applyFont="1"/>
    <xf numFmtId="0" fontId="17" fillId="5" borderId="8" xfId="17" applyFont="1" applyFill="1" applyBorder="1" applyAlignment="1">
      <alignment horizontal="centerContinuous"/>
    </xf>
    <xf numFmtId="0" fontId="17" fillId="5" borderId="8" xfId="17" applyFont="1" applyFill="1" applyBorder="1"/>
    <xf numFmtId="0" fontId="22" fillId="0" borderId="0" xfId="17" applyFont="1" applyAlignment="1">
      <alignment horizontal="left"/>
    </xf>
    <xf numFmtId="0" fontId="17" fillId="5" borderId="18" xfId="17" applyFont="1" applyFill="1" applyBorder="1" applyAlignment="1">
      <alignment horizontal="centerContinuous"/>
    </xf>
    <xf numFmtId="0" fontId="17" fillId="5" borderId="19" xfId="17" applyFont="1" applyFill="1" applyBorder="1" applyAlignment="1">
      <alignment horizontal="centerContinuous"/>
    </xf>
    <xf numFmtId="0" fontId="17" fillId="5" borderId="20" xfId="17" applyFont="1" applyFill="1" applyBorder="1" applyAlignment="1">
      <alignment horizontal="center" vertical="center"/>
    </xf>
    <xf numFmtId="0" fontId="17" fillId="5" borderId="21" xfId="17" applyFont="1" applyFill="1" applyBorder="1" applyAlignment="1">
      <alignment horizontal="center" vertical="center" wrapText="1"/>
    </xf>
    <xf numFmtId="0" fontId="17" fillId="5" borderId="22" xfId="17" applyFont="1" applyFill="1" applyBorder="1" applyAlignment="1">
      <alignment horizontal="center" vertical="center" wrapText="1"/>
    </xf>
    <xf numFmtId="0" fontId="23" fillId="0" borderId="0" xfId="17" applyFont="1"/>
    <xf numFmtId="0" fontId="24" fillId="0" borderId="0" xfId="17" applyFont="1" applyAlignment="1">
      <alignment vertical="center" wrapText="1"/>
    </xf>
    <xf numFmtId="0" fontId="24" fillId="0" borderId="0" xfId="17" applyFont="1" applyAlignment="1">
      <alignment horizontal="center" vertical="center" wrapText="1"/>
    </xf>
    <xf numFmtId="0" fontId="24" fillId="0" borderId="0" xfId="17" applyFont="1" applyAlignment="1">
      <alignment wrapText="1"/>
    </xf>
    <xf numFmtId="0" fontId="22" fillId="0" borderId="0" xfId="17" quotePrefix="1" applyFont="1"/>
    <xf numFmtId="0" fontId="22" fillId="0" borderId="9" xfId="17" applyFont="1" applyBorder="1"/>
    <xf numFmtId="0" fontId="24" fillId="0" borderId="0" xfId="17" applyFont="1"/>
    <xf numFmtId="0" fontId="42" fillId="5" borderId="8" xfId="0" applyFont="1" applyFill="1" applyBorder="1" applyAlignment="1">
      <alignment horizontal="center"/>
    </xf>
    <xf numFmtId="0" fontId="43" fillId="0" borderId="0" xfId="0" applyFont="1" applyAlignment="1">
      <alignment horizontal="center"/>
    </xf>
    <xf numFmtId="0" fontId="42" fillId="0" borderId="0" xfId="17" applyFont="1"/>
    <xf numFmtId="0" fontId="42" fillId="0" borderId="0" xfId="0" applyFont="1" applyAlignment="1">
      <alignment vertical="center"/>
    </xf>
    <xf numFmtId="0" fontId="42" fillId="5" borderId="8" xfId="17" applyFont="1" applyFill="1" applyBorder="1" applyAlignment="1">
      <alignment horizontal="centerContinuous"/>
    </xf>
    <xf numFmtId="41" fontId="2" fillId="0" borderId="0" xfId="17" applyNumberFormat="1"/>
    <xf numFmtId="43" fontId="2" fillId="0" borderId="0" xfId="17" applyNumberFormat="1"/>
    <xf numFmtId="0" fontId="43" fillId="0" borderId="9" xfId="17" applyFont="1" applyBorder="1"/>
    <xf numFmtId="0" fontId="43" fillId="0" borderId="0" xfId="17" applyFont="1"/>
    <xf numFmtId="0" fontId="1" fillId="0" borderId="0" xfId="12" applyFont="1"/>
    <xf numFmtId="0" fontId="18" fillId="0" borderId="0" xfId="0" applyFont="1" applyAlignment="1">
      <alignment wrapText="1"/>
    </xf>
    <xf numFmtId="0" fontId="43" fillId="0" borderId="0" xfId="17" applyFont="1" applyAlignment="1">
      <alignment horizontal="center"/>
    </xf>
    <xf numFmtId="0" fontId="22" fillId="0" borderId="0" xfId="17" applyFont="1" applyAlignment="1">
      <alignment wrapText="1"/>
    </xf>
    <xf numFmtId="0" fontId="42" fillId="5" borderId="8" xfId="17" applyFont="1" applyFill="1" applyBorder="1" applyAlignment="1">
      <alignment horizontal="center"/>
    </xf>
    <xf numFmtId="0" fontId="43" fillId="0" borderId="8" xfId="17" applyFont="1" applyBorder="1" applyAlignment="1">
      <alignment horizontal="center"/>
    </xf>
    <xf numFmtId="164" fontId="14" fillId="3" borderId="2" xfId="9" applyNumberFormat="1" applyFont="1" applyFill="1" applyBorder="1" applyAlignment="1">
      <alignment horizontal="center" vertical="center"/>
    </xf>
    <xf numFmtId="0" fontId="14" fillId="3" borderId="2" xfId="8" applyFont="1" applyFill="1" applyBorder="1" applyAlignment="1">
      <alignment horizontal="center" vertical="center" wrapText="1"/>
    </xf>
    <xf numFmtId="0" fontId="14" fillId="3" borderId="1" xfId="8" applyFont="1" applyFill="1" applyBorder="1" applyAlignment="1">
      <alignment horizontal="center" vertical="center" wrapText="1"/>
    </xf>
    <xf numFmtId="0" fontId="14" fillId="3" borderId="4" xfId="8" applyFont="1" applyFill="1" applyBorder="1" applyAlignment="1">
      <alignment horizontal="center" vertical="center" wrapText="1"/>
    </xf>
    <xf numFmtId="0" fontId="14" fillId="3" borderId="5" xfId="8" applyFont="1" applyFill="1" applyBorder="1" applyAlignment="1">
      <alignment horizontal="center" vertical="center" wrapText="1"/>
    </xf>
    <xf numFmtId="0" fontId="14" fillId="3" borderId="2" xfId="8" applyFont="1" applyFill="1" applyBorder="1" applyAlignment="1">
      <alignment horizontal="center" vertical="center"/>
    </xf>
    <xf numFmtId="164" fontId="14" fillId="3" borderId="1" xfId="9" applyNumberFormat="1" applyFont="1" applyFill="1" applyBorder="1" applyAlignment="1">
      <alignment horizontal="center" vertical="center"/>
    </xf>
    <xf numFmtId="164" fontId="14" fillId="3" borderId="5" xfId="9" applyNumberFormat="1" applyFont="1" applyFill="1" applyBorder="1" applyAlignment="1">
      <alignment horizontal="center" vertical="center"/>
    </xf>
    <xf numFmtId="0" fontId="14" fillId="0" borderId="2" xfId="8" applyFont="1" applyBorder="1" applyAlignment="1">
      <alignment horizontal="center" vertical="center"/>
    </xf>
    <xf numFmtId="0" fontId="14" fillId="0" borderId="2" xfId="8" applyFont="1" applyBorder="1" applyAlignment="1">
      <alignment horizontal="center"/>
    </xf>
    <xf numFmtId="0" fontId="14" fillId="3" borderId="1" xfId="8" applyFont="1" applyFill="1" applyBorder="1" applyAlignment="1">
      <alignment horizontal="center" vertical="center"/>
    </xf>
    <xf numFmtId="0" fontId="14" fillId="3" borderId="5" xfId="8" applyFont="1" applyFill="1" applyBorder="1" applyAlignment="1">
      <alignment horizontal="center" vertical="center"/>
    </xf>
    <xf numFmtId="0" fontId="14" fillId="3" borderId="11" xfId="8" applyFont="1" applyFill="1" applyBorder="1" applyAlignment="1">
      <alignment horizontal="center" vertical="center"/>
    </xf>
    <xf numFmtId="0" fontId="14" fillId="3" borderId="0" xfId="8" applyFont="1" applyFill="1" applyAlignment="1">
      <alignment horizontal="center" vertical="center"/>
    </xf>
    <xf numFmtId="0" fontId="14" fillId="3" borderId="10" xfId="8" applyFont="1" applyFill="1" applyBorder="1" applyAlignment="1">
      <alignment horizontal="center" vertical="center"/>
    </xf>
    <xf numFmtId="0" fontId="14" fillId="3" borderId="6" xfId="8" applyFont="1" applyFill="1" applyBorder="1" applyAlignment="1">
      <alignment horizontal="center" vertical="center"/>
    </xf>
    <xf numFmtId="0" fontId="14" fillId="3" borderId="3" xfId="8" applyFont="1" applyFill="1" applyBorder="1" applyAlignment="1">
      <alignment horizontal="center" vertical="center"/>
    </xf>
    <xf numFmtId="0" fontId="14" fillId="3" borderId="7" xfId="8" applyFont="1" applyFill="1" applyBorder="1" applyAlignment="1">
      <alignment horizontal="center" vertical="center"/>
    </xf>
    <xf numFmtId="0" fontId="17" fillId="5" borderId="9" xfId="17" applyFont="1" applyFill="1" applyBorder="1" applyAlignment="1"/>
  </cellXfs>
  <cellStyles count="19">
    <cellStyle name="Comma" xfId="2" builtinId="3"/>
    <cellStyle name="Comma 2" xfId="11" xr:uid="{29CA5420-EE4D-4988-8555-0DF019CC4567}"/>
    <cellStyle name="Comma 2 2" xfId="6" xr:uid="{AD138F8B-3F3B-459B-BA6B-D605A7AD066A}"/>
    <cellStyle name="Comma 4" xfId="9" xr:uid="{0B90F31E-0286-4786-81C1-E13C2BD11BFA}"/>
    <cellStyle name="Normal" xfId="0" builtinId="0"/>
    <cellStyle name="Normal 14" xfId="8" xr:uid="{954EE89E-F1FB-4699-B025-B4BC509214B9}"/>
    <cellStyle name="Normal 2" xfId="3" xr:uid="{66D3D997-1F64-4150-B233-6FD463A8BD51}"/>
    <cellStyle name="Normal 2 2" xfId="4" xr:uid="{7932D584-F1CD-4310-BAD0-5A9D4EEB2E96}"/>
    <cellStyle name="Normal 2 3" xfId="5" xr:uid="{ABAB4E26-8F87-4EE6-9FC2-925DCDDF11D0}"/>
    <cellStyle name="Normal 3" xfId="1" xr:uid="{00000000-0005-0000-0000-000002000000}"/>
    <cellStyle name="Normal 3 2" xfId="7" xr:uid="{F571C744-6016-4BA6-B173-181A6BF7EB2E}"/>
    <cellStyle name="Normal 3 2 2" xfId="10" xr:uid="{0A30AF45-F53C-4F04-822D-2D04E03123C0}"/>
    <cellStyle name="Normal 4" xfId="12" xr:uid="{BBEAC1FF-BA29-419A-B740-1BFA2699301B}"/>
    <cellStyle name="Normal 4 2" xfId="18" xr:uid="{7D925F6E-5861-4119-85FB-0B5969E78354}"/>
    <cellStyle name="Normal 5" xfId="13" xr:uid="{47CDB45E-CC3B-4FA0-A6AE-E23488674F45}"/>
    <cellStyle name="Normal 6" xfId="14" xr:uid="{15D99037-33EA-4CFB-A7E8-8E24BCD63780}"/>
    <cellStyle name="Normal 7" xfId="15" xr:uid="{8749193F-B14D-4C7A-B6E3-9B156A91B000}"/>
    <cellStyle name="Normal 8" xfId="16" xr:uid="{FC270D28-F806-40B4-A545-97196305BC69}"/>
    <cellStyle name="Normal 9" xfId="17" xr:uid="{591FFAF0-CC24-434D-8F16-79D57AAD9979}"/>
  </cellStyles>
  <dxfs count="0"/>
  <tableStyles count="0" defaultTableStyle="TableStyleMedium2" defaultPivotStyle="PivotStyleLight16"/>
  <colors>
    <mruColors>
      <color rgb="FFC65911"/>
      <color rgb="FFDA9694"/>
      <color rgb="FFEDCCCB"/>
      <color rgb="FF5B9BD5"/>
      <color rgb="FFFCE4D6"/>
      <color rgb="FF4F81BD"/>
      <color rgb="FF660066"/>
      <color rgb="FFB1A0C7"/>
      <color rgb="FFF4F773"/>
      <color rgb="FFE5E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28575</xdr:colOff>
      <xdr:row>0</xdr:row>
      <xdr:rowOff>171450</xdr:rowOff>
    </xdr:from>
    <xdr:to>
      <xdr:col>23</xdr:col>
      <xdr:colOff>458196</xdr:colOff>
      <xdr:row>18</xdr:row>
      <xdr:rowOff>124297</xdr:rowOff>
    </xdr:to>
    <xdr:pic>
      <xdr:nvPicPr>
        <xdr:cNvPr id="3" name="Picture 2">
          <a:extLst>
            <a:ext uri="{FF2B5EF4-FFF2-40B4-BE49-F238E27FC236}">
              <a16:creationId xmlns:a16="http://schemas.microsoft.com/office/drawing/2014/main" id="{C6F8553A-6B3D-4D55-A12E-81D75D71608A}"/>
            </a:ext>
          </a:extLst>
        </xdr:cNvPr>
        <xdr:cNvPicPr>
          <a:picLocks noChangeAspect="1"/>
        </xdr:cNvPicPr>
      </xdr:nvPicPr>
      <xdr:blipFill>
        <a:blip xmlns:r="http://schemas.openxmlformats.org/officeDocument/2006/relationships" r:embed="rId1"/>
        <a:stretch>
          <a:fillRect/>
        </a:stretch>
      </xdr:blipFill>
      <xdr:spPr>
        <a:xfrm>
          <a:off x="7858125" y="171450"/>
          <a:ext cx="7135221" cy="33818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A273-E2E6-4190-A669-9DCA2D9084A9}">
  <sheetPr>
    <tabColor rgb="FFB1A0C7"/>
  </sheetPr>
  <dimension ref="A1:E175"/>
  <sheetViews>
    <sheetView tabSelected="1" workbookViewId="0">
      <pane ySplit="2" topLeftCell="A3" activePane="bottomLeft" state="frozen"/>
      <selection pane="bottomLeft"/>
    </sheetView>
  </sheetViews>
  <sheetFormatPr defaultColWidth="9.140625" defaultRowHeight="15"/>
  <cols>
    <col min="1" max="1" width="73.28515625" style="50" customWidth="1"/>
    <col min="2" max="4" width="20.42578125" style="50" customWidth="1"/>
    <col min="5" max="5" width="9.140625" style="50" customWidth="1"/>
    <col min="6" max="16384" width="9.140625" style="50"/>
  </cols>
  <sheetData>
    <row r="1" spans="1:4" ht="17.25">
      <c r="A1" s="66" t="s">
        <v>0</v>
      </c>
    </row>
    <row r="2" spans="1:4">
      <c r="A2" s="52" t="s">
        <v>1</v>
      </c>
      <c r="B2" s="52" t="s">
        <v>2</v>
      </c>
      <c r="C2" s="52" t="s">
        <v>3</v>
      </c>
      <c r="D2" s="52" t="s">
        <v>4</v>
      </c>
    </row>
    <row r="3" spans="1:4">
      <c r="A3" s="53" t="s">
        <v>5</v>
      </c>
      <c r="B3" s="59">
        <f>SUM(B4)</f>
        <v>405</v>
      </c>
      <c r="C3" s="59">
        <f>SUM(C4)</f>
        <v>0</v>
      </c>
      <c r="D3" s="59">
        <f>SUM(B3:C3)</f>
        <v>405</v>
      </c>
    </row>
    <row r="4" spans="1:4">
      <c r="A4" s="56" t="s">
        <v>6</v>
      </c>
      <c r="B4" s="60">
        <v>405</v>
      </c>
      <c r="C4" s="60">
        <v>0</v>
      </c>
      <c r="D4" s="60">
        <f t="shared" ref="D4:D67" si="0">SUM(B4:C4)</f>
        <v>405</v>
      </c>
    </row>
    <row r="5" spans="1:4">
      <c r="A5" s="57" t="s">
        <v>7</v>
      </c>
      <c r="B5" s="61">
        <f>SUM(B6:B8)</f>
        <v>102.82779236325911</v>
      </c>
      <c r="C5" s="61">
        <f>SUM(C6:C8)</f>
        <v>10.08388673</v>
      </c>
      <c r="D5" s="61">
        <f t="shared" si="0"/>
        <v>112.91167909325911</v>
      </c>
    </row>
    <row r="6" spans="1:4">
      <c r="A6" s="51" t="s">
        <v>8</v>
      </c>
      <c r="B6" s="62">
        <v>100</v>
      </c>
      <c r="C6" s="62">
        <v>0</v>
      </c>
      <c r="D6" s="62">
        <f t="shared" si="0"/>
        <v>100</v>
      </c>
    </row>
    <row r="7" spans="1:4" ht="17.25">
      <c r="A7" s="51" t="s">
        <v>9</v>
      </c>
      <c r="B7" s="62">
        <v>2.8277923632591095</v>
      </c>
      <c r="C7" s="62">
        <v>0.34781379000000001</v>
      </c>
      <c r="D7" s="62">
        <f t="shared" si="0"/>
        <v>3.1756061532591096</v>
      </c>
    </row>
    <row r="8" spans="1:4" ht="17.25">
      <c r="A8" s="51" t="s">
        <v>10</v>
      </c>
      <c r="B8" s="62">
        <v>0</v>
      </c>
      <c r="C8" s="62">
        <v>9.7360729399999997</v>
      </c>
      <c r="D8" s="62">
        <f t="shared" si="0"/>
        <v>9.7360729399999997</v>
      </c>
    </row>
    <row r="9" spans="1:4">
      <c r="A9" s="57" t="s">
        <v>11</v>
      </c>
      <c r="B9" s="59">
        <f>SUM(B10:B11)</f>
        <v>2.6807673532591094</v>
      </c>
      <c r="C9" s="59">
        <f>SUM(C10:C11)</f>
        <v>21.781033779999998</v>
      </c>
      <c r="D9" s="61">
        <f t="shared" si="0"/>
        <v>24.461801133259108</v>
      </c>
    </row>
    <row r="10" spans="1:4">
      <c r="A10" s="51" t="s">
        <v>8</v>
      </c>
      <c r="B10" s="62">
        <v>0</v>
      </c>
      <c r="C10" s="62">
        <v>21.433219999999999</v>
      </c>
      <c r="D10" s="62">
        <f t="shared" si="0"/>
        <v>21.433219999999999</v>
      </c>
    </row>
    <row r="11" spans="1:4" ht="17.25">
      <c r="A11" s="51" t="s">
        <v>9</v>
      </c>
      <c r="B11" s="62">
        <v>2.6807673532591094</v>
      </c>
      <c r="C11" s="62">
        <v>0.34781378000000002</v>
      </c>
      <c r="D11" s="62">
        <f t="shared" si="0"/>
        <v>3.0285811332591095</v>
      </c>
    </row>
    <row r="12" spans="1:4">
      <c r="A12" s="57" t="s">
        <v>12</v>
      </c>
      <c r="B12" s="61">
        <f>SUM(B13:B16)</f>
        <v>1624.5629503532591</v>
      </c>
      <c r="C12" s="61">
        <f>SUM(C13:C16)</f>
        <v>685.80355017363649</v>
      </c>
      <c r="D12" s="61">
        <f t="shared" si="0"/>
        <v>2310.3665005268958</v>
      </c>
    </row>
    <row r="13" spans="1:4">
      <c r="A13" s="51" t="s">
        <v>8</v>
      </c>
      <c r="B13" s="62">
        <v>1539.29</v>
      </c>
      <c r="C13" s="62">
        <v>11.238480560000001</v>
      </c>
      <c r="D13" s="62">
        <f t="shared" si="0"/>
        <v>1550.5284805599999</v>
      </c>
    </row>
    <row r="14" spans="1:4">
      <c r="A14" s="51" t="s">
        <v>6</v>
      </c>
      <c r="B14" s="62">
        <v>68.289999999999992</v>
      </c>
      <c r="C14" s="62">
        <v>0</v>
      </c>
      <c r="D14" s="62">
        <f t="shared" si="0"/>
        <v>68.289999999999992</v>
      </c>
    </row>
    <row r="15" spans="1:4" ht="17.25">
      <c r="A15" s="51" t="s">
        <v>9</v>
      </c>
      <c r="B15" s="62">
        <v>16.982950353259113</v>
      </c>
      <c r="C15" s="62">
        <v>0.72339615363636356</v>
      </c>
      <c r="D15" s="62">
        <f t="shared" si="0"/>
        <v>17.706346506895478</v>
      </c>
    </row>
    <row r="16" spans="1:4" ht="17.25">
      <c r="A16" s="51" t="s">
        <v>13</v>
      </c>
      <c r="B16" s="62">
        <v>0</v>
      </c>
      <c r="C16" s="62">
        <v>673.84167346000015</v>
      </c>
      <c r="D16" s="62">
        <f t="shared" si="0"/>
        <v>673.84167346000015</v>
      </c>
    </row>
    <row r="17" spans="1:4">
      <c r="A17" s="53" t="s">
        <v>14</v>
      </c>
      <c r="B17" s="61">
        <f>SUM(B18:B20)</f>
        <v>97.927949353259109</v>
      </c>
      <c r="C17" s="61">
        <f>SUM(C18:C20)</f>
        <v>0.30839615363636363</v>
      </c>
      <c r="D17" s="59">
        <f t="shared" si="0"/>
        <v>98.236345506895475</v>
      </c>
    </row>
    <row r="18" spans="1:4">
      <c r="A18" s="51" t="s">
        <v>8</v>
      </c>
      <c r="B18" s="62">
        <v>69.61</v>
      </c>
      <c r="C18" s="62">
        <v>0</v>
      </c>
      <c r="D18" s="62">
        <f t="shared" si="0"/>
        <v>69.61</v>
      </c>
    </row>
    <row r="19" spans="1:4">
      <c r="A19" s="51" t="s">
        <v>6</v>
      </c>
      <c r="B19" s="62">
        <v>21</v>
      </c>
      <c r="C19" s="62">
        <v>0</v>
      </c>
      <c r="D19" s="62">
        <f t="shared" si="0"/>
        <v>21</v>
      </c>
    </row>
    <row r="20" spans="1:4" ht="17.25">
      <c r="A20" s="51" t="s">
        <v>9</v>
      </c>
      <c r="B20" s="62">
        <v>7.3179493532591096</v>
      </c>
      <c r="C20" s="62">
        <v>0.30839615363636363</v>
      </c>
      <c r="D20" s="62">
        <f t="shared" si="0"/>
        <v>7.6263455068954729</v>
      </c>
    </row>
    <row r="21" spans="1:4">
      <c r="A21" s="57" t="s">
        <v>15</v>
      </c>
      <c r="B21" s="61">
        <f>SUM(B22:B26)</f>
        <v>434.80179535325908</v>
      </c>
      <c r="C21" s="61">
        <f>SUM(C22:C26)</f>
        <v>41.349101153636369</v>
      </c>
      <c r="D21" s="61">
        <f t="shared" si="0"/>
        <v>476.15089650689544</v>
      </c>
    </row>
    <row r="22" spans="1:4">
      <c r="A22" s="58" t="s">
        <v>8</v>
      </c>
      <c r="B22" s="63">
        <v>373</v>
      </c>
      <c r="C22" s="63">
        <v>25</v>
      </c>
      <c r="D22" s="63">
        <f t="shared" si="0"/>
        <v>398</v>
      </c>
    </row>
    <row r="23" spans="1:4">
      <c r="A23" s="51" t="s">
        <v>6</v>
      </c>
      <c r="B23" s="62">
        <v>52.249999999999993</v>
      </c>
      <c r="C23" s="62">
        <v>0</v>
      </c>
      <c r="D23" s="62">
        <f t="shared" si="0"/>
        <v>52.249999999999993</v>
      </c>
    </row>
    <row r="24" spans="1:4">
      <c r="A24" s="51" t="s">
        <v>16</v>
      </c>
      <c r="B24" s="62">
        <v>0</v>
      </c>
      <c r="C24" s="62">
        <v>5.25</v>
      </c>
      <c r="D24" s="62">
        <f t="shared" si="0"/>
        <v>5.25</v>
      </c>
    </row>
    <row r="25" spans="1:4" ht="17.25">
      <c r="A25" s="51" t="s">
        <v>9</v>
      </c>
      <c r="B25" s="62">
        <v>9.5517953532591093</v>
      </c>
      <c r="C25" s="62">
        <v>1.0991011536363637</v>
      </c>
      <c r="D25" s="62">
        <f t="shared" si="0"/>
        <v>10.650896506895473</v>
      </c>
    </row>
    <row r="26" spans="1:4" ht="17.25">
      <c r="A26" s="51" t="s">
        <v>17</v>
      </c>
      <c r="B26" s="62">
        <v>0</v>
      </c>
      <c r="C26" s="62">
        <v>10</v>
      </c>
      <c r="D26" s="62">
        <f t="shared" si="0"/>
        <v>10</v>
      </c>
    </row>
    <row r="27" spans="1:4">
      <c r="A27" s="57" t="s">
        <v>18</v>
      </c>
      <c r="B27" s="61">
        <f>SUM(B28:B30)</f>
        <v>1598.0282098932589</v>
      </c>
      <c r="C27" s="61">
        <f>SUM(C28:C30)</f>
        <v>303.13856726999995</v>
      </c>
      <c r="D27" s="61">
        <f t="shared" si="0"/>
        <v>1901.1667771632588</v>
      </c>
    </row>
    <row r="28" spans="1:4">
      <c r="A28" s="51" t="s">
        <v>8</v>
      </c>
      <c r="B28" s="62">
        <v>1577.1750175399998</v>
      </c>
      <c r="C28" s="62">
        <v>185.76446952999999</v>
      </c>
      <c r="D28" s="62">
        <f t="shared" si="0"/>
        <v>1762.9394870699998</v>
      </c>
    </row>
    <row r="29" spans="1:4" ht="17.25">
      <c r="A29" s="51" t="s">
        <v>9</v>
      </c>
      <c r="B29" s="62">
        <v>20.853192353259111</v>
      </c>
      <c r="C29" s="62">
        <v>8.0197999999999992E-2</v>
      </c>
      <c r="D29" s="62">
        <f t="shared" si="0"/>
        <v>20.93339035325911</v>
      </c>
    </row>
    <row r="30" spans="1:4" ht="17.25">
      <c r="A30" s="51" t="s">
        <v>19</v>
      </c>
      <c r="B30" s="62">
        <v>0</v>
      </c>
      <c r="C30" s="62">
        <v>117.29389973999994</v>
      </c>
      <c r="D30" s="62">
        <f t="shared" si="0"/>
        <v>117.29389973999994</v>
      </c>
    </row>
    <row r="31" spans="1:4">
      <c r="A31" s="57" t="s">
        <v>20</v>
      </c>
      <c r="B31" s="59">
        <f>SUM(B32)</f>
        <v>2.0948276132591093</v>
      </c>
      <c r="C31" s="59">
        <f>SUM(C32)</f>
        <v>7.2420000000000012E-2</v>
      </c>
      <c r="D31" s="64">
        <f t="shared" si="0"/>
        <v>2.1672476132591094</v>
      </c>
    </row>
    <row r="32" spans="1:4" ht="17.25">
      <c r="A32" s="51" t="s">
        <v>9</v>
      </c>
      <c r="B32" s="63">
        <v>2.0948276132591093</v>
      </c>
      <c r="C32" s="63">
        <v>7.2420000000000012E-2</v>
      </c>
      <c r="D32" s="63">
        <f t="shared" si="0"/>
        <v>2.1672476132591094</v>
      </c>
    </row>
    <row r="33" spans="1:4">
      <c r="A33" s="55" t="s">
        <v>21</v>
      </c>
      <c r="B33" s="59">
        <f>SUM(B34:B35)</f>
        <v>9.7236290199257773</v>
      </c>
      <c r="C33" s="59">
        <f>SUM(C34:C35)</f>
        <v>0.25942500000000002</v>
      </c>
      <c r="D33" s="64">
        <f t="shared" si="0"/>
        <v>9.9830540199257776</v>
      </c>
    </row>
    <row r="34" spans="1:4">
      <c r="A34" s="58" t="s">
        <v>6</v>
      </c>
      <c r="B34" s="63">
        <v>5</v>
      </c>
      <c r="C34" s="63">
        <v>0</v>
      </c>
      <c r="D34" s="63">
        <f t="shared" si="0"/>
        <v>5</v>
      </c>
    </row>
    <row r="35" spans="1:4" ht="17.25">
      <c r="A35" s="51" t="s">
        <v>9</v>
      </c>
      <c r="B35" s="62">
        <v>4.7236290199257764</v>
      </c>
      <c r="C35" s="62">
        <v>0.25942500000000002</v>
      </c>
      <c r="D35" s="62">
        <f t="shared" si="0"/>
        <v>4.9830540199257767</v>
      </c>
    </row>
    <row r="36" spans="1:4">
      <c r="A36" s="55" t="s">
        <v>22</v>
      </c>
      <c r="B36" s="59">
        <f>SUM(B37:B39)</f>
        <v>161.4636866332591</v>
      </c>
      <c r="C36" s="59">
        <f>SUM(C37:C39)</f>
        <v>0.38111379000000001</v>
      </c>
      <c r="D36" s="64">
        <f t="shared" si="0"/>
        <v>161.8448004232591</v>
      </c>
    </row>
    <row r="37" spans="1:4">
      <c r="A37" s="58" t="s">
        <v>8</v>
      </c>
      <c r="B37" s="63">
        <v>150</v>
      </c>
      <c r="C37" s="63">
        <v>0</v>
      </c>
      <c r="D37" s="63">
        <f t="shared" si="0"/>
        <v>150</v>
      </c>
    </row>
    <row r="38" spans="1:4">
      <c r="A38" s="51" t="s">
        <v>6</v>
      </c>
      <c r="B38" s="62">
        <v>3</v>
      </c>
      <c r="C38" s="62">
        <v>0</v>
      </c>
      <c r="D38" s="62">
        <f t="shared" si="0"/>
        <v>3</v>
      </c>
    </row>
    <row r="39" spans="1:4" ht="17.25">
      <c r="A39" s="51" t="s">
        <v>9</v>
      </c>
      <c r="B39" s="62">
        <v>8.4636866332591101</v>
      </c>
      <c r="C39" s="62">
        <v>0.38111379000000001</v>
      </c>
      <c r="D39" s="62">
        <f t="shared" si="0"/>
        <v>8.8448004232591106</v>
      </c>
    </row>
    <row r="40" spans="1:4">
      <c r="A40" s="55" t="s">
        <v>23</v>
      </c>
      <c r="B40" s="59">
        <f>SUM(B41:B43)</f>
        <v>111.3061302332591</v>
      </c>
      <c r="C40" s="59">
        <f>SUM(C41:C43)</f>
        <v>141.29854792139321</v>
      </c>
      <c r="D40" s="64">
        <f t="shared" si="0"/>
        <v>252.60467815465231</v>
      </c>
    </row>
    <row r="41" spans="1:4">
      <c r="A41" s="58" t="s">
        <v>8</v>
      </c>
      <c r="B41" s="63">
        <v>104.14750088</v>
      </c>
      <c r="C41" s="63">
        <v>112.52611316139321</v>
      </c>
      <c r="D41" s="63">
        <f t="shared" si="0"/>
        <v>216.67361404139319</v>
      </c>
    </row>
    <row r="42" spans="1:4" ht="17.25">
      <c r="A42" s="51" t="s">
        <v>9</v>
      </c>
      <c r="B42" s="62">
        <v>7.1586293532591068</v>
      </c>
      <c r="C42" s="62">
        <v>0.34781379000000001</v>
      </c>
      <c r="D42" s="62">
        <f t="shared" si="0"/>
        <v>7.5064431432591068</v>
      </c>
    </row>
    <row r="43" spans="1:4" ht="17.25">
      <c r="A43" s="51" t="s">
        <v>24</v>
      </c>
      <c r="B43" s="62">
        <v>0</v>
      </c>
      <c r="C43" s="62">
        <v>28.424620969999999</v>
      </c>
      <c r="D43" s="62">
        <f t="shared" si="0"/>
        <v>28.424620969999999</v>
      </c>
    </row>
    <row r="44" spans="1:4">
      <c r="A44" s="55" t="s">
        <v>25</v>
      </c>
      <c r="B44" s="59">
        <f>SUM(B45:B48)</f>
        <v>1835.2147003532591</v>
      </c>
      <c r="C44" s="59">
        <f>SUM(C45:C48)</f>
        <v>333.13314327000001</v>
      </c>
      <c r="D44" s="64">
        <f t="shared" si="0"/>
        <v>2168.347843623259</v>
      </c>
    </row>
    <row r="45" spans="1:4">
      <c r="A45" s="58" t="s">
        <v>8</v>
      </c>
      <c r="B45" s="63">
        <v>1808.3</v>
      </c>
      <c r="C45" s="63">
        <v>208.01110985</v>
      </c>
      <c r="D45" s="63">
        <f t="shared" si="0"/>
        <v>2016.3111098499999</v>
      </c>
    </row>
    <row r="46" spans="1:4">
      <c r="A46" s="51" t="s">
        <v>6</v>
      </c>
      <c r="B46" s="62">
        <v>8.879999999999999</v>
      </c>
      <c r="C46" s="62">
        <v>5.5250000000000004</v>
      </c>
      <c r="D46" s="62">
        <f t="shared" si="0"/>
        <v>14.404999999999999</v>
      </c>
    </row>
    <row r="47" spans="1:4" ht="17.25">
      <c r="A47" s="51" t="s">
        <v>9</v>
      </c>
      <c r="B47" s="62">
        <v>18.034700353259115</v>
      </c>
      <c r="C47" s="62">
        <v>0.68659800000000004</v>
      </c>
      <c r="D47" s="62">
        <f t="shared" si="0"/>
        <v>18.721298353259115</v>
      </c>
    </row>
    <row r="48" spans="1:4" ht="17.25">
      <c r="A48" s="51" t="s">
        <v>13</v>
      </c>
      <c r="B48" s="62">
        <v>0</v>
      </c>
      <c r="C48" s="62">
        <v>118.91043542</v>
      </c>
      <c r="D48" s="62">
        <f t="shared" si="0"/>
        <v>118.91043542</v>
      </c>
    </row>
    <row r="49" spans="1:4">
      <c r="A49" s="55" t="s">
        <v>26</v>
      </c>
      <c r="B49" s="59">
        <f>SUM(B50:B53)</f>
        <v>1917.464315423259</v>
      </c>
      <c r="C49" s="59">
        <f>SUM(C50:C53)</f>
        <v>32.752569179399003</v>
      </c>
      <c r="D49" s="64">
        <f t="shared" si="0"/>
        <v>1950.216884602658</v>
      </c>
    </row>
    <row r="50" spans="1:4">
      <c r="A50" s="58" t="s">
        <v>8</v>
      </c>
      <c r="B50" s="63">
        <v>1902.8774115699998</v>
      </c>
      <c r="C50" s="63">
        <v>0</v>
      </c>
      <c r="D50" s="63">
        <f t="shared" si="0"/>
        <v>1902.8774115699998</v>
      </c>
    </row>
    <row r="51" spans="1:4">
      <c r="A51" s="51" t="s">
        <v>27</v>
      </c>
      <c r="B51" s="62">
        <v>0</v>
      </c>
      <c r="C51" s="62">
        <v>12.281402319399</v>
      </c>
      <c r="D51" s="62">
        <f t="shared" si="0"/>
        <v>12.281402319399</v>
      </c>
    </row>
    <row r="52" spans="1:4" ht="17.25">
      <c r="A52" s="51" t="s">
        <v>9</v>
      </c>
      <c r="B52" s="62">
        <v>14.586903853259111</v>
      </c>
      <c r="C52" s="62">
        <v>0.92781379000000008</v>
      </c>
      <c r="D52" s="62">
        <f t="shared" si="0"/>
        <v>15.514717643259111</v>
      </c>
    </row>
    <row r="53" spans="1:4" ht="17.25">
      <c r="A53" s="51" t="s">
        <v>13</v>
      </c>
      <c r="B53" s="62">
        <v>0</v>
      </c>
      <c r="C53" s="62">
        <v>19.543353070000002</v>
      </c>
      <c r="D53" s="62">
        <f t="shared" si="0"/>
        <v>19.543353070000002</v>
      </c>
    </row>
    <row r="54" spans="1:4">
      <c r="A54" s="55" t="s">
        <v>28</v>
      </c>
      <c r="B54" s="59">
        <f>SUM(B55:B56)</f>
        <v>4.9061003532591085</v>
      </c>
      <c r="C54" s="59">
        <f>SUM(C55:C56)</f>
        <v>15.34781379</v>
      </c>
      <c r="D54" s="64">
        <f t="shared" si="0"/>
        <v>20.253914143259109</v>
      </c>
    </row>
    <row r="55" spans="1:4">
      <c r="A55" s="58" t="s">
        <v>8</v>
      </c>
      <c r="B55" s="63">
        <v>0</v>
      </c>
      <c r="C55" s="63">
        <v>15</v>
      </c>
      <c r="D55" s="63">
        <f t="shared" si="0"/>
        <v>15</v>
      </c>
    </row>
    <row r="56" spans="1:4" ht="17.25">
      <c r="A56" s="51" t="s">
        <v>9</v>
      </c>
      <c r="B56" s="62">
        <v>4.9061003532591085</v>
      </c>
      <c r="C56" s="62">
        <v>0.34781379000000001</v>
      </c>
      <c r="D56" s="62">
        <f t="shared" si="0"/>
        <v>5.2539141432591085</v>
      </c>
    </row>
    <row r="57" spans="1:4">
      <c r="A57" s="55" t="s">
        <v>29</v>
      </c>
      <c r="B57" s="59">
        <f>SUM(B58:B59)</f>
        <v>26.864994363259111</v>
      </c>
      <c r="C57" s="59">
        <f>SUM(C58:C59)</f>
        <v>0.25942500000000002</v>
      </c>
      <c r="D57" s="64">
        <f t="shared" si="0"/>
        <v>27.124419363259111</v>
      </c>
    </row>
    <row r="58" spans="1:4">
      <c r="A58" s="58" t="s">
        <v>6</v>
      </c>
      <c r="B58" s="63">
        <v>24.587156</v>
      </c>
      <c r="C58" s="63">
        <v>0</v>
      </c>
      <c r="D58" s="63">
        <f t="shared" si="0"/>
        <v>24.587156</v>
      </c>
    </row>
    <row r="59" spans="1:4" ht="17.25">
      <c r="A59" s="51" t="s">
        <v>9</v>
      </c>
      <c r="B59" s="62">
        <v>2.2778383632591095</v>
      </c>
      <c r="C59" s="62">
        <v>0.25942500000000002</v>
      </c>
      <c r="D59" s="62">
        <f t="shared" si="0"/>
        <v>2.5372633632591093</v>
      </c>
    </row>
    <row r="60" spans="1:4">
      <c r="A60" s="55" t="s">
        <v>30</v>
      </c>
      <c r="B60" s="59">
        <f>SUM(B61:B63)</f>
        <v>139.02255635325912</v>
      </c>
      <c r="C60" s="59">
        <f>SUM(C61:C63)</f>
        <v>0.30829615363636365</v>
      </c>
      <c r="D60" s="64">
        <f t="shared" si="0"/>
        <v>139.3308525068955</v>
      </c>
    </row>
    <row r="61" spans="1:4">
      <c r="A61" s="58" t="s">
        <v>8</v>
      </c>
      <c r="B61" s="63">
        <v>60</v>
      </c>
      <c r="C61" s="63">
        <v>0</v>
      </c>
      <c r="D61" s="63">
        <f t="shared" si="0"/>
        <v>60</v>
      </c>
    </row>
    <row r="62" spans="1:4">
      <c r="A62" s="51" t="s">
        <v>6</v>
      </c>
      <c r="B62" s="62">
        <v>71.5</v>
      </c>
      <c r="C62" s="62">
        <v>0</v>
      </c>
      <c r="D62" s="62">
        <f t="shared" si="0"/>
        <v>71.5</v>
      </c>
    </row>
    <row r="63" spans="1:4" ht="17.25">
      <c r="A63" s="51" t="s">
        <v>9</v>
      </c>
      <c r="B63" s="62">
        <v>7.5225563532591071</v>
      </c>
      <c r="C63" s="62">
        <v>0.30829615363636365</v>
      </c>
      <c r="D63" s="62">
        <f t="shared" si="0"/>
        <v>7.8308525068954706</v>
      </c>
    </row>
    <row r="64" spans="1:4">
      <c r="A64" s="57" t="s">
        <v>31</v>
      </c>
      <c r="B64" s="59">
        <f>SUM(B65)</f>
        <v>7.6645793932591104</v>
      </c>
      <c r="C64" s="59">
        <f>SUM(C65)</f>
        <v>0.25942500000000002</v>
      </c>
      <c r="D64" s="64">
        <f t="shared" si="0"/>
        <v>7.9240043932591107</v>
      </c>
    </row>
    <row r="65" spans="1:4" ht="17.25">
      <c r="A65" s="51" t="s">
        <v>9</v>
      </c>
      <c r="B65" s="63">
        <v>7.6645793932591104</v>
      </c>
      <c r="C65" s="63">
        <v>0.25942500000000002</v>
      </c>
      <c r="D65" s="63">
        <f t="shared" si="0"/>
        <v>7.9240043932591107</v>
      </c>
    </row>
    <row r="66" spans="1:4">
      <c r="A66" s="57" t="s">
        <v>32</v>
      </c>
      <c r="B66" s="59">
        <f>SUM(B67:B68)</f>
        <v>1.2568928561538459</v>
      </c>
      <c r="C66" s="59">
        <f>SUM(C67:C68)</f>
        <v>26.685510080000032</v>
      </c>
      <c r="D66" s="64">
        <f t="shared" si="0"/>
        <v>27.942402936153879</v>
      </c>
    </row>
    <row r="67" spans="1:4" ht="17.25">
      <c r="A67" s="51" t="s">
        <v>9</v>
      </c>
      <c r="B67" s="63">
        <v>1.2568928561538459</v>
      </c>
      <c r="C67" s="63">
        <v>0.106498</v>
      </c>
      <c r="D67" s="63">
        <f t="shared" si="0"/>
        <v>1.3633908561538459</v>
      </c>
    </row>
    <row r="68" spans="1:4" ht="17.25">
      <c r="A68" s="51" t="s">
        <v>19</v>
      </c>
      <c r="B68" s="62">
        <v>0</v>
      </c>
      <c r="C68" s="62">
        <v>26.579012080000034</v>
      </c>
      <c r="D68" s="62">
        <f t="shared" ref="D68:D131" si="1">SUM(B68:C68)</f>
        <v>26.579012080000034</v>
      </c>
    </row>
    <row r="69" spans="1:4">
      <c r="A69" s="55" t="s">
        <v>33</v>
      </c>
      <c r="B69" s="59">
        <f>SUM(B70:B72)</f>
        <v>22.864616353259109</v>
      </c>
      <c r="C69" s="59">
        <f>SUM(C70:C72)</f>
        <v>9.1302199999999996</v>
      </c>
      <c r="D69" s="64">
        <f t="shared" si="1"/>
        <v>31.99483635325911</v>
      </c>
    </row>
    <row r="70" spans="1:4">
      <c r="A70" s="58" t="s">
        <v>8</v>
      </c>
      <c r="B70" s="63">
        <v>0</v>
      </c>
      <c r="C70" s="63">
        <v>9.0909999999999993</v>
      </c>
      <c r="D70" s="63">
        <f t="shared" si="1"/>
        <v>9.0909999999999993</v>
      </c>
    </row>
    <row r="71" spans="1:4">
      <c r="A71" s="51" t="s">
        <v>6</v>
      </c>
      <c r="B71" s="62">
        <v>17.509999999999998</v>
      </c>
      <c r="C71" s="62">
        <v>0</v>
      </c>
      <c r="D71" s="62">
        <f t="shared" si="1"/>
        <v>17.509999999999998</v>
      </c>
    </row>
    <row r="72" spans="1:4" ht="17.25">
      <c r="A72" s="51" t="s">
        <v>9</v>
      </c>
      <c r="B72" s="62">
        <v>5.3546163532591091</v>
      </c>
      <c r="C72" s="62">
        <v>3.9219999999999998E-2</v>
      </c>
      <c r="D72" s="62">
        <f t="shared" si="1"/>
        <v>5.3938363532591094</v>
      </c>
    </row>
    <row r="73" spans="1:4">
      <c r="A73" s="57" t="s">
        <v>34</v>
      </c>
      <c r="B73" s="59">
        <f>SUM(B74)</f>
        <v>4.8286310299257797</v>
      </c>
      <c r="C73" s="59">
        <f>SUM(C74)</f>
        <v>0.22612499999999999</v>
      </c>
      <c r="D73" s="64">
        <f t="shared" si="1"/>
        <v>5.0547560299257794</v>
      </c>
    </row>
    <row r="74" spans="1:4" ht="17.25">
      <c r="A74" s="51" t="s">
        <v>9</v>
      </c>
      <c r="B74" s="63">
        <v>4.8286310299257797</v>
      </c>
      <c r="C74" s="63">
        <v>0.22612499999999999</v>
      </c>
      <c r="D74" s="63">
        <f t="shared" si="1"/>
        <v>5.0547560299257794</v>
      </c>
    </row>
    <row r="75" spans="1:4">
      <c r="A75" s="55" t="s">
        <v>35</v>
      </c>
      <c r="B75" s="59">
        <f>SUM(B76:B79)</f>
        <v>178.44188635325912</v>
      </c>
      <c r="C75" s="59">
        <f>SUM(C76:C79)</f>
        <v>25.533476903636362</v>
      </c>
      <c r="D75" s="64">
        <f t="shared" si="1"/>
        <v>203.97536325689549</v>
      </c>
    </row>
    <row r="76" spans="1:4">
      <c r="A76" s="58" t="s">
        <v>8</v>
      </c>
      <c r="B76" s="63">
        <v>160</v>
      </c>
      <c r="C76" s="63">
        <v>18</v>
      </c>
      <c r="D76" s="63">
        <f t="shared" si="1"/>
        <v>178</v>
      </c>
    </row>
    <row r="77" spans="1:4">
      <c r="A77" s="51" t="s">
        <v>6</v>
      </c>
      <c r="B77" s="62">
        <v>4</v>
      </c>
      <c r="C77" s="62">
        <v>0</v>
      </c>
      <c r="D77" s="62">
        <f t="shared" si="1"/>
        <v>4</v>
      </c>
    </row>
    <row r="78" spans="1:4" ht="17.25">
      <c r="A78" s="51" t="s">
        <v>9</v>
      </c>
      <c r="B78" s="62">
        <v>14.441886353259111</v>
      </c>
      <c r="C78" s="62">
        <v>0.30829615363636365</v>
      </c>
      <c r="D78" s="62">
        <f t="shared" si="1"/>
        <v>14.750182506895475</v>
      </c>
    </row>
    <row r="79" spans="1:4" ht="17.25">
      <c r="A79" s="51" t="s">
        <v>24</v>
      </c>
      <c r="B79" s="62">
        <v>0</v>
      </c>
      <c r="C79" s="62">
        <v>7.2251807499999998</v>
      </c>
      <c r="D79" s="62">
        <f t="shared" si="1"/>
        <v>7.2251807499999998</v>
      </c>
    </row>
    <row r="80" spans="1:4">
      <c r="A80" s="55" t="s">
        <v>36</v>
      </c>
      <c r="B80" s="59">
        <f>SUM(B81:B82)</f>
        <v>16.074462363259109</v>
      </c>
      <c r="C80" s="59">
        <f>SUM(C81:C82)</f>
        <v>0.25942500000000002</v>
      </c>
      <c r="D80" s="64">
        <f t="shared" si="1"/>
        <v>16.333887363259109</v>
      </c>
    </row>
    <row r="81" spans="1:4">
      <c r="A81" s="58" t="s">
        <v>6</v>
      </c>
      <c r="B81" s="63">
        <v>15</v>
      </c>
      <c r="C81" s="63">
        <v>0</v>
      </c>
      <c r="D81" s="63">
        <f t="shared" si="1"/>
        <v>15</v>
      </c>
    </row>
    <row r="82" spans="1:4" ht="17.25">
      <c r="A82" s="51" t="s">
        <v>9</v>
      </c>
      <c r="B82" s="62">
        <v>1.0744623632591093</v>
      </c>
      <c r="C82" s="62">
        <v>0.25942500000000002</v>
      </c>
      <c r="D82" s="62">
        <f t="shared" si="1"/>
        <v>1.3338873632591093</v>
      </c>
    </row>
    <row r="83" spans="1:4">
      <c r="A83" s="55" t="s">
        <v>37</v>
      </c>
      <c r="B83" s="59">
        <f>SUM(B84:B87)</f>
        <v>300.71409935325909</v>
      </c>
      <c r="C83" s="59">
        <f>SUM(C84:C87)</f>
        <v>19.110579473636363</v>
      </c>
      <c r="D83" s="64">
        <f t="shared" si="1"/>
        <v>319.82467882689548</v>
      </c>
    </row>
    <row r="84" spans="1:4">
      <c r="A84" s="58" t="s">
        <v>8</v>
      </c>
      <c r="B84" s="63">
        <v>260</v>
      </c>
      <c r="C84" s="63">
        <v>0</v>
      </c>
      <c r="D84" s="63">
        <f t="shared" si="1"/>
        <v>260</v>
      </c>
    </row>
    <row r="85" spans="1:4">
      <c r="A85" s="51" t="s">
        <v>6</v>
      </c>
      <c r="B85" s="62">
        <v>31</v>
      </c>
      <c r="C85" s="62">
        <v>0</v>
      </c>
      <c r="D85" s="62">
        <f t="shared" si="1"/>
        <v>31</v>
      </c>
    </row>
    <row r="86" spans="1:4" ht="17.25">
      <c r="A86" s="51" t="s">
        <v>9</v>
      </c>
      <c r="B86" s="62">
        <v>9.71409935325911</v>
      </c>
      <c r="C86" s="62">
        <v>0.87839615363636381</v>
      </c>
      <c r="D86" s="62">
        <f t="shared" si="1"/>
        <v>10.592495506895474</v>
      </c>
    </row>
    <row r="87" spans="1:4" ht="17.25">
      <c r="A87" s="51" t="s">
        <v>24</v>
      </c>
      <c r="B87" s="62">
        <v>0</v>
      </c>
      <c r="C87" s="62">
        <v>18.232183320000001</v>
      </c>
      <c r="D87" s="62">
        <f t="shared" si="1"/>
        <v>18.232183320000001</v>
      </c>
    </row>
    <row r="88" spans="1:4">
      <c r="A88" s="57" t="s">
        <v>38</v>
      </c>
      <c r="B88" s="59">
        <f>SUM(B89)</f>
        <v>1.5345663732591091</v>
      </c>
      <c r="C88" s="59">
        <f>SUM(C89)</f>
        <v>7.2420000000000012E-2</v>
      </c>
      <c r="D88" s="64">
        <f t="shared" si="1"/>
        <v>1.606986373259109</v>
      </c>
    </row>
    <row r="89" spans="1:4" ht="17.25">
      <c r="A89" s="51" t="s">
        <v>9</v>
      </c>
      <c r="B89" s="63">
        <v>1.5345663732591091</v>
      </c>
      <c r="C89" s="63">
        <v>7.2420000000000012E-2</v>
      </c>
      <c r="D89" s="63">
        <f t="shared" si="1"/>
        <v>1.606986373259109</v>
      </c>
    </row>
    <row r="90" spans="1:4">
      <c r="A90" s="55" t="s">
        <v>39</v>
      </c>
      <c r="B90" s="59">
        <f>SUM(B91:B94)</f>
        <v>2694.9677743532588</v>
      </c>
      <c r="C90" s="59">
        <f>SUM(C91:C94)</f>
        <v>732.5409998036364</v>
      </c>
      <c r="D90" s="64">
        <f t="shared" si="1"/>
        <v>3427.508774156895</v>
      </c>
    </row>
    <row r="91" spans="1:4">
      <c r="A91" s="58" t="s">
        <v>8</v>
      </c>
      <c r="B91" s="63">
        <v>2672.6</v>
      </c>
      <c r="C91" s="63">
        <v>0</v>
      </c>
      <c r="D91" s="63">
        <f t="shared" si="1"/>
        <v>2672.6</v>
      </c>
    </row>
    <row r="92" spans="1:4">
      <c r="A92" s="51" t="s">
        <v>6</v>
      </c>
      <c r="B92" s="62">
        <v>3</v>
      </c>
      <c r="C92" s="62">
        <v>0</v>
      </c>
      <c r="D92" s="62">
        <f t="shared" si="1"/>
        <v>3</v>
      </c>
    </row>
    <row r="93" spans="1:4" ht="17.25">
      <c r="A93" s="51" t="s">
        <v>9</v>
      </c>
      <c r="B93" s="62">
        <v>19.367774353259112</v>
      </c>
      <c r="C93" s="62">
        <v>0.55829615363636376</v>
      </c>
      <c r="D93" s="62">
        <f t="shared" si="1"/>
        <v>19.926070506895474</v>
      </c>
    </row>
    <row r="94" spans="1:4" ht="17.25">
      <c r="A94" s="51" t="s">
        <v>40</v>
      </c>
      <c r="B94" s="62">
        <v>0</v>
      </c>
      <c r="C94" s="62">
        <v>731.98270365000008</v>
      </c>
      <c r="D94" s="62">
        <f t="shared" si="1"/>
        <v>731.98270365000008</v>
      </c>
    </row>
    <row r="95" spans="1:4">
      <c r="A95" s="55" t="s">
        <v>41</v>
      </c>
      <c r="B95" s="59">
        <f>SUM(B96:B97)</f>
        <v>39.774186589925776</v>
      </c>
      <c r="C95" s="59">
        <f>SUM(C96:C97)</f>
        <v>0.25942500000000002</v>
      </c>
      <c r="D95" s="64">
        <f t="shared" si="1"/>
        <v>40.033611589925776</v>
      </c>
    </row>
    <row r="96" spans="1:4">
      <c r="A96" s="58" t="s">
        <v>8</v>
      </c>
      <c r="B96" s="63">
        <v>35</v>
      </c>
      <c r="C96" s="63">
        <v>0</v>
      </c>
      <c r="D96" s="63">
        <f t="shared" si="1"/>
        <v>35</v>
      </c>
    </row>
    <row r="97" spans="1:4" ht="17.25">
      <c r="A97" s="51" t="s">
        <v>9</v>
      </c>
      <c r="B97" s="62">
        <v>4.774186589925776</v>
      </c>
      <c r="C97" s="62">
        <v>0.25942500000000002</v>
      </c>
      <c r="D97" s="62">
        <f t="shared" si="1"/>
        <v>5.0336115899257763</v>
      </c>
    </row>
    <row r="98" spans="1:4">
      <c r="A98" s="55" t="s">
        <v>42</v>
      </c>
      <c r="B98" s="59">
        <f>SUM(B99:B101)</f>
        <v>686.03547981325914</v>
      </c>
      <c r="C98" s="59">
        <f>SUM(C99:C101)</f>
        <v>0.52860115363636362</v>
      </c>
      <c r="D98" s="64">
        <f t="shared" si="1"/>
        <v>686.56408096689552</v>
      </c>
    </row>
    <row r="99" spans="1:4">
      <c r="A99" s="58" t="s">
        <v>8</v>
      </c>
      <c r="B99" s="63">
        <v>671.5</v>
      </c>
      <c r="C99" s="63">
        <v>0</v>
      </c>
      <c r="D99" s="63">
        <f t="shared" si="1"/>
        <v>671.5</v>
      </c>
    </row>
    <row r="100" spans="1:4">
      <c r="A100" s="51" t="s">
        <v>6</v>
      </c>
      <c r="B100" s="62">
        <v>10.69</v>
      </c>
      <c r="C100" s="62">
        <v>0</v>
      </c>
      <c r="D100" s="62">
        <f t="shared" si="1"/>
        <v>10.69</v>
      </c>
    </row>
    <row r="101" spans="1:4" ht="17.25">
      <c r="A101" s="51" t="s">
        <v>9</v>
      </c>
      <c r="B101" s="62">
        <v>3.8454798132591095</v>
      </c>
      <c r="C101" s="62">
        <v>0.52860115363636362</v>
      </c>
      <c r="D101" s="62">
        <f t="shared" si="1"/>
        <v>4.3740809668954732</v>
      </c>
    </row>
    <row r="102" spans="1:4">
      <c r="A102" s="55" t="s">
        <v>43</v>
      </c>
      <c r="B102" s="59">
        <f>SUM(B103:B105)</f>
        <v>2522.1604483532592</v>
      </c>
      <c r="C102" s="59">
        <f>SUM(C103:C105)</f>
        <v>49.119140000000002</v>
      </c>
      <c r="D102" s="64">
        <f t="shared" si="1"/>
        <v>2571.279588353259</v>
      </c>
    </row>
    <row r="103" spans="1:4">
      <c r="A103" s="58" t="s">
        <v>8</v>
      </c>
      <c r="B103" s="63">
        <v>2500</v>
      </c>
      <c r="C103" s="63">
        <v>49</v>
      </c>
      <c r="D103" s="63">
        <f t="shared" si="1"/>
        <v>2549</v>
      </c>
    </row>
    <row r="104" spans="1:4">
      <c r="A104" s="51" t="s">
        <v>6</v>
      </c>
      <c r="B104" s="62">
        <v>2</v>
      </c>
      <c r="C104" s="62">
        <v>0</v>
      </c>
      <c r="D104" s="62">
        <f t="shared" si="1"/>
        <v>2</v>
      </c>
    </row>
    <row r="105" spans="1:4" ht="17.25">
      <c r="A105" s="51" t="s">
        <v>9</v>
      </c>
      <c r="B105" s="62">
        <v>20.16044835325911</v>
      </c>
      <c r="C105" s="62">
        <v>0.11914000000000001</v>
      </c>
      <c r="D105" s="62">
        <f t="shared" si="1"/>
        <v>20.279588353259111</v>
      </c>
    </row>
    <row r="106" spans="1:4">
      <c r="A106" s="53" t="s">
        <v>44</v>
      </c>
      <c r="B106" s="59">
        <f>SUM(B107:B109)</f>
        <v>12.470533123259109</v>
      </c>
      <c r="C106" s="59">
        <f>SUM(C107:C109)</f>
        <v>0.60610790363636358</v>
      </c>
      <c r="D106" s="59">
        <f t="shared" si="1"/>
        <v>13.076641026895473</v>
      </c>
    </row>
    <row r="107" spans="1:4">
      <c r="A107" s="51" t="s">
        <v>6</v>
      </c>
      <c r="B107" s="62">
        <v>7.5</v>
      </c>
      <c r="C107" s="62">
        <v>0</v>
      </c>
      <c r="D107" s="62">
        <f t="shared" si="1"/>
        <v>7.5</v>
      </c>
    </row>
    <row r="108" spans="1:4" ht="17.25">
      <c r="A108" s="51" t="s">
        <v>9</v>
      </c>
      <c r="B108" s="62">
        <v>4.9705331232591101</v>
      </c>
      <c r="C108" s="62">
        <v>0.52860115363636362</v>
      </c>
      <c r="D108" s="62">
        <f t="shared" si="1"/>
        <v>5.4991342768954734</v>
      </c>
    </row>
    <row r="109" spans="1:4" ht="17.25">
      <c r="A109" s="51" t="s">
        <v>19</v>
      </c>
      <c r="B109" s="62">
        <v>0</v>
      </c>
      <c r="C109" s="62">
        <v>7.7506749999999999E-2</v>
      </c>
      <c r="D109" s="62">
        <f t="shared" si="1"/>
        <v>7.7506749999999999E-2</v>
      </c>
    </row>
    <row r="110" spans="1:4">
      <c r="A110" s="53" t="s">
        <v>45</v>
      </c>
      <c r="B110" s="59">
        <f>SUM(B111:B113)</f>
        <v>19.461636563259113</v>
      </c>
      <c r="C110" s="59">
        <f>SUM(C111:C113)</f>
        <v>0.25942500000000002</v>
      </c>
      <c r="D110" s="59">
        <f t="shared" si="1"/>
        <v>19.721061563259113</v>
      </c>
    </row>
    <row r="111" spans="1:4">
      <c r="A111" s="51" t="s">
        <v>8</v>
      </c>
      <c r="B111" s="62">
        <v>5</v>
      </c>
      <c r="C111" s="62">
        <v>0</v>
      </c>
      <c r="D111" s="62">
        <f t="shared" si="1"/>
        <v>5</v>
      </c>
    </row>
    <row r="112" spans="1:4">
      <c r="A112" s="51" t="s">
        <v>6</v>
      </c>
      <c r="B112" s="62">
        <v>8</v>
      </c>
      <c r="C112" s="62">
        <v>0</v>
      </c>
      <c r="D112" s="62">
        <f t="shared" si="1"/>
        <v>8</v>
      </c>
    </row>
    <row r="113" spans="1:4" ht="17.25">
      <c r="A113" s="51" t="s">
        <v>9</v>
      </c>
      <c r="B113" s="62">
        <v>6.4616365632591108</v>
      </c>
      <c r="C113" s="62">
        <v>0.25942500000000002</v>
      </c>
      <c r="D113" s="62">
        <f t="shared" si="1"/>
        <v>6.7210615632591111</v>
      </c>
    </row>
    <row r="114" spans="1:4">
      <c r="A114" s="53" t="s">
        <v>46</v>
      </c>
      <c r="B114" s="59">
        <f>SUM(B115:B118)</f>
        <v>210.48369935325911</v>
      </c>
      <c r="C114" s="59">
        <f>SUM(C115:C118)</f>
        <v>47.493176260000006</v>
      </c>
      <c r="D114" s="59">
        <f t="shared" si="1"/>
        <v>257.9768756132591</v>
      </c>
    </row>
    <row r="115" spans="1:4">
      <c r="A115" s="51" t="s">
        <v>8</v>
      </c>
      <c r="B115" s="62">
        <v>200</v>
      </c>
      <c r="C115" s="62">
        <v>0</v>
      </c>
      <c r="D115" s="62">
        <f t="shared" si="1"/>
        <v>200</v>
      </c>
    </row>
    <row r="116" spans="1:4">
      <c r="A116" s="51" t="s">
        <v>6</v>
      </c>
      <c r="B116" s="62">
        <v>3</v>
      </c>
      <c r="C116" s="62">
        <v>0</v>
      </c>
      <c r="D116" s="62">
        <f t="shared" si="1"/>
        <v>3</v>
      </c>
    </row>
    <row r="117" spans="1:4" ht="17.25">
      <c r="A117" s="51" t="s">
        <v>9</v>
      </c>
      <c r="B117" s="62">
        <v>7.4836993532591096</v>
      </c>
      <c r="C117" s="62">
        <v>0.34791379</v>
      </c>
      <c r="D117" s="62">
        <f t="shared" si="1"/>
        <v>7.8316131432591094</v>
      </c>
    </row>
    <row r="118" spans="1:4" ht="17.25">
      <c r="A118" s="51" t="s">
        <v>19</v>
      </c>
      <c r="B118" s="62">
        <v>0</v>
      </c>
      <c r="C118" s="62">
        <v>47.145262470000006</v>
      </c>
      <c r="D118" s="62">
        <f t="shared" si="1"/>
        <v>47.145262470000006</v>
      </c>
    </row>
    <row r="119" spans="1:4">
      <c r="A119" s="53" t="s">
        <v>47</v>
      </c>
      <c r="B119" s="59">
        <f>SUM(B120:B122)</f>
        <v>217.98109735325909</v>
      </c>
      <c r="C119" s="59">
        <f>SUM(C120:C122)</f>
        <v>1.2132486836363636</v>
      </c>
      <c r="D119" s="59">
        <f t="shared" si="1"/>
        <v>219.19434603689544</v>
      </c>
    </row>
    <row r="120" spans="1:4">
      <c r="A120" s="51" t="s">
        <v>6</v>
      </c>
      <c r="B120" s="62">
        <v>211.2</v>
      </c>
      <c r="C120" s="62">
        <v>0</v>
      </c>
      <c r="D120" s="62">
        <f t="shared" si="1"/>
        <v>211.2</v>
      </c>
    </row>
    <row r="121" spans="1:4" ht="17.25">
      <c r="A121" s="51" t="s">
        <v>9</v>
      </c>
      <c r="B121" s="62">
        <v>6.7810973532591081</v>
      </c>
      <c r="C121" s="62">
        <v>0.30829615363636365</v>
      </c>
      <c r="D121" s="62">
        <f t="shared" si="1"/>
        <v>7.0893935068954717</v>
      </c>
    </row>
    <row r="122" spans="1:4" ht="17.25">
      <c r="A122" s="51" t="s">
        <v>19</v>
      </c>
      <c r="B122" s="62">
        <v>0</v>
      </c>
      <c r="C122" s="62">
        <v>0.90495252999999998</v>
      </c>
      <c r="D122" s="62">
        <f t="shared" si="1"/>
        <v>0.90495252999999998</v>
      </c>
    </row>
    <row r="123" spans="1:4">
      <c r="A123" s="53" t="s">
        <v>48</v>
      </c>
      <c r="B123" s="59">
        <f>SUM(B124:B126)</f>
        <v>4.3676583532591096</v>
      </c>
      <c r="C123" s="59">
        <f>SUM(C124:C126)</f>
        <v>103.82627596443253</v>
      </c>
      <c r="D123" s="59">
        <f t="shared" si="1"/>
        <v>108.19393431769163</v>
      </c>
    </row>
    <row r="124" spans="1:4">
      <c r="A124" s="51" t="s">
        <v>8</v>
      </c>
      <c r="B124" s="62">
        <v>0</v>
      </c>
      <c r="C124" s="62">
        <v>4.7104542644320002</v>
      </c>
      <c r="D124" s="62">
        <f t="shared" si="1"/>
        <v>4.7104542644320002</v>
      </c>
    </row>
    <row r="125" spans="1:4" ht="17.25">
      <c r="A125" s="51" t="s">
        <v>9</v>
      </c>
      <c r="B125" s="62">
        <v>4.3676583532591096</v>
      </c>
      <c r="C125" s="62">
        <v>0.17649799999999999</v>
      </c>
      <c r="D125" s="62">
        <f t="shared" si="1"/>
        <v>4.5441563532591092</v>
      </c>
    </row>
    <row r="126" spans="1:4" ht="17.25">
      <c r="A126" s="51" t="s">
        <v>19</v>
      </c>
      <c r="B126" s="62">
        <v>0</v>
      </c>
      <c r="C126" s="62">
        <v>98.939323700000529</v>
      </c>
      <c r="D126" s="62">
        <f t="shared" si="1"/>
        <v>98.939323700000529</v>
      </c>
    </row>
    <row r="127" spans="1:4">
      <c r="A127" s="53" t="s">
        <v>49</v>
      </c>
      <c r="B127" s="59">
        <f>SUM(B128:B129)</f>
        <v>133.76509625325912</v>
      </c>
      <c r="C127" s="59">
        <f>SUM(C128:C129)</f>
        <v>3.9120000000000002E-2</v>
      </c>
      <c r="D127" s="59">
        <f t="shared" si="1"/>
        <v>133.80421625325911</v>
      </c>
    </row>
    <row r="128" spans="1:4">
      <c r="A128" s="51" t="s">
        <v>8</v>
      </c>
      <c r="B128" s="62">
        <v>127</v>
      </c>
      <c r="C128" s="62">
        <v>0</v>
      </c>
      <c r="D128" s="62">
        <f t="shared" si="1"/>
        <v>127</v>
      </c>
    </row>
    <row r="129" spans="1:4" ht="17.25">
      <c r="A129" s="51" t="s">
        <v>9</v>
      </c>
      <c r="B129" s="62">
        <v>6.7650962532591086</v>
      </c>
      <c r="C129" s="62">
        <v>3.9120000000000002E-2</v>
      </c>
      <c r="D129" s="62">
        <f t="shared" si="1"/>
        <v>6.8042162532591082</v>
      </c>
    </row>
    <row r="130" spans="1:4">
      <c r="A130" s="53" t="s">
        <v>50</v>
      </c>
      <c r="B130" s="59">
        <f>SUM(B131:B132)</f>
        <v>12.645533113259109</v>
      </c>
      <c r="C130" s="59">
        <f>SUM(C131:C132)</f>
        <v>0.25942399999999999</v>
      </c>
      <c r="D130" s="59">
        <f t="shared" si="1"/>
        <v>12.904957113259108</v>
      </c>
    </row>
    <row r="131" spans="1:4">
      <c r="A131" s="51" t="s">
        <v>6</v>
      </c>
      <c r="B131" s="62">
        <v>8.73</v>
      </c>
      <c r="C131" s="62">
        <v>0</v>
      </c>
      <c r="D131" s="62">
        <f t="shared" si="1"/>
        <v>8.73</v>
      </c>
    </row>
    <row r="132" spans="1:4" ht="17.25">
      <c r="A132" s="51" t="s">
        <v>9</v>
      </c>
      <c r="B132" s="62">
        <v>3.9155331132591096</v>
      </c>
      <c r="C132" s="62">
        <v>0.25942399999999999</v>
      </c>
      <c r="D132" s="62">
        <f t="shared" ref="D132:D151" si="2">SUM(B132:C132)</f>
        <v>4.1749571132591097</v>
      </c>
    </row>
    <row r="133" spans="1:4">
      <c r="A133" s="57" t="s">
        <v>51</v>
      </c>
      <c r="B133" s="59">
        <f>SUM(B134)</f>
        <v>1.1486953532591093</v>
      </c>
      <c r="C133" s="59">
        <f>SUM(C134)</f>
        <v>3.9120000000000002E-2</v>
      </c>
      <c r="D133" s="61">
        <f t="shared" si="2"/>
        <v>1.1878153532591094</v>
      </c>
    </row>
    <row r="134" spans="1:4" ht="17.25">
      <c r="A134" s="51" t="s">
        <v>9</v>
      </c>
      <c r="B134" s="62">
        <v>1.1486953532591093</v>
      </c>
      <c r="C134" s="62">
        <v>3.9120000000000002E-2</v>
      </c>
      <c r="D134" s="62">
        <f t="shared" si="2"/>
        <v>1.1878153532591094</v>
      </c>
    </row>
    <row r="135" spans="1:4">
      <c r="A135" s="53" t="s">
        <v>52</v>
      </c>
      <c r="B135" s="59">
        <f>SUM(B136:B137)</f>
        <v>32.705338363259109</v>
      </c>
      <c r="C135" s="59">
        <f>SUM(C136:C137)</f>
        <v>0.25942399999999999</v>
      </c>
      <c r="D135" s="59">
        <f t="shared" si="2"/>
        <v>32.964762363259112</v>
      </c>
    </row>
    <row r="136" spans="1:4">
      <c r="A136" s="51" t="s">
        <v>6</v>
      </c>
      <c r="B136" s="62">
        <v>30</v>
      </c>
      <c r="C136" s="62">
        <v>0</v>
      </c>
      <c r="D136" s="62">
        <f t="shared" si="2"/>
        <v>30</v>
      </c>
    </row>
    <row r="137" spans="1:4" ht="17.25">
      <c r="A137" s="51" t="s">
        <v>9</v>
      </c>
      <c r="B137" s="62">
        <v>2.7053383632591093</v>
      </c>
      <c r="C137" s="62">
        <v>0.25942399999999999</v>
      </c>
      <c r="D137" s="62">
        <f t="shared" si="2"/>
        <v>2.9647623632591094</v>
      </c>
    </row>
    <row r="138" spans="1:4">
      <c r="A138" s="53" t="s">
        <v>53</v>
      </c>
      <c r="B138" s="59">
        <f>SUM(B139:B143)</f>
        <v>1110.6454483532589</v>
      </c>
      <c r="C138" s="59">
        <f>SUM(C139:C143)</f>
        <v>260.85960847363657</v>
      </c>
      <c r="D138" s="59">
        <f t="shared" si="2"/>
        <v>1371.5050568268955</v>
      </c>
    </row>
    <row r="139" spans="1:4">
      <c r="A139" s="51" t="s">
        <v>8</v>
      </c>
      <c r="B139" s="62">
        <v>1073.8499999999999</v>
      </c>
      <c r="C139" s="62">
        <v>47.03</v>
      </c>
      <c r="D139" s="62">
        <f t="shared" si="2"/>
        <v>1120.8799999999999</v>
      </c>
    </row>
    <row r="140" spans="1:4">
      <c r="A140" s="51" t="s">
        <v>6</v>
      </c>
      <c r="B140" s="62">
        <v>3.3</v>
      </c>
      <c r="C140" s="62">
        <v>0</v>
      </c>
      <c r="D140" s="62">
        <f t="shared" si="2"/>
        <v>3.3</v>
      </c>
    </row>
    <row r="141" spans="1:4">
      <c r="A141" s="51" t="s">
        <v>16</v>
      </c>
      <c r="B141" s="62">
        <v>19.463000000000001</v>
      </c>
      <c r="C141" s="62">
        <v>0</v>
      </c>
      <c r="D141" s="62">
        <f t="shared" si="2"/>
        <v>19.463000000000001</v>
      </c>
    </row>
    <row r="142" spans="1:4" ht="17.25">
      <c r="A142" s="51" t="s">
        <v>9</v>
      </c>
      <c r="B142" s="62">
        <v>14.032448353259115</v>
      </c>
      <c r="C142" s="62">
        <v>0.30829615363636365</v>
      </c>
      <c r="D142" s="62">
        <f t="shared" si="2"/>
        <v>14.340744506895479</v>
      </c>
    </row>
    <row r="143" spans="1:4" ht="17.25">
      <c r="A143" s="51" t="s">
        <v>24</v>
      </c>
      <c r="B143" s="62">
        <v>0</v>
      </c>
      <c r="C143" s="62">
        <v>213.52131232000022</v>
      </c>
      <c r="D143" s="62">
        <f t="shared" si="2"/>
        <v>213.52131232000022</v>
      </c>
    </row>
    <row r="144" spans="1:4">
      <c r="A144" s="53" t="s">
        <v>54</v>
      </c>
      <c r="B144" s="59">
        <f>SUM(B145:B146)</f>
        <v>13.274111063259109</v>
      </c>
      <c r="C144" s="59">
        <f>SUM(C145:C146)</f>
        <v>0.25942399999999999</v>
      </c>
      <c r="D144" s="59">
        <f t="shared" si="2"/>
        <v>13.533535063259109</v>
      </c>
    </row>
    <row r="145" spans="1:5">
      <c r="A145" s="51" t="s">
        <v>6</v>
      </c>
      <c r="B145" s="62">
        <v>8.2435779999999994</v>
      </c>
      <c r="C145" s="62">
        <v>0</v>
      </c>
      <c r="D145" s="62">
        <f t="shared" si="2"/>
        <v>8.2435779999999994</v>
      </c>
    </row>
    <row r="146" spans="1:5" ht="17.25">
      <c r="A146" s="51" t="s">
        <v>9</v>
      </c>
      <c r="B146" s="62">
        <v>5.0305330632591092</v>
      </c>
      <c r="C146" s="62">
        <v>0.25942399999999999</v>
      </c>
      <c r="D146" s="62">
        <f t="shared" si="2"/>
        <v>5.2899570632591093</v>
      </c>
    </row>
    <row r="147" spans="1:5">
      <c r="A147" s="53" t="s">
        <v>55</v>
      </c>
      <c r="B147" s="59">
        <f>SUM(B148:B151)</f>
        <v>12.77351135325911</v>
      </c>
      <c r="C147" s="59">
        <f>SUM(C148:C151)</f>
        <v>795.71530197999959</v>
      </c>
      <c r="D147" s="59">
        <f t="shared" si="2"/>
        <v>808.48881333325869</v>
      </c>
    </row>
    <row r="148" spans="1:5">
      <c r="A148" s="51" t="s">
        <v>8</v>
      </c>
      <c r="B148" s="62">
        <v>0</v>
      </c>
      <c r="C148" s="62">
        <v>171.74799582999998</v>
      </c>
      <c r="D148" s="62">
        <f t="shared" si="2"/>
        <v>171.74799582999998</v>
      </c>
    </row>
    <row r="149" spans="1:5">
      <c r="A149" s="51" t="s">
        <v>6</v>
      </c>
      <c r="B149" s="62">
        <v>0</v>
      </c>
      <c r="C149" s="62">
        <v>8.75</v>
      </c>
      <c r="D149" s="62">
        <f t="shared" si="2"/>
        <v>8.75</v>
      </c>
    </row>
    <row r="150" spans="1:5" ht="17.25">
      <c r="A150" s="51" t="s">
        <v>9</v>
      </c>
      <c r="B150" s="62">
        <v>12.77351135325911</v>
      </c>
      <c r="C150" s="62">
        <v>1.5178137899999999</v>
      </c>
      <c r="D150" s="62">
        <f t="shared" si="2"/>
        <v>14.29132514325911</v>
      </c>
    </row>
    <row r="151" spans="1:5" ht="17.25">
      <c r="A151" s="51" t="s">
        <v>24</v>
      </c>
      <c r="B151" s="62">
        <v>0</v>
      </c>
      <c r="C151" s="62">
        <v>613.69949235999957</v>
      </c>
      <c r="D151" s="62">
        <f t="shared" si="2"/>
        <v>613.69949235999957</v>
      </c>
    </row>
    <row r="152" spans="1:5">
      <c r="A152" s="54" t="s">
        <v>4</v>
      </c>
      <c r="B152" s="65">
        <f>SUM(B3,B5,B9,B12,B17,B21,B27,B31,B33,B36,B40,B44,B49,B54,B57,B60,B64,B66,B69,B73,B75,B80,B83,B88,B90,B95,B98,B102,B106,B110,B114,B119,B123,B127,B130,B133,B135,B138,B144,B147)</f>
        <v>16731.930386799999</v>
      </c>
      <c r="C152" s="65">
        <f>SUM(C3,C5,C9,C12,C17,C21,C27,C31,C33,C36,C40,C44,C49,C54,C57,C60,C64,C66,C69,C73,C75,C80,C83,C88,C90,C95,C98,C102,C106,C110,C114,C119,C123,C127,C130,C133,C135,C138,C144,C147)</f>
        <v>3660.8322930452232</v>
      </c>
      <c r="D152" s="65">
        <f>SUM(D3,D5,D9,D12,D17,D21,D27,D31,D33,D36,D40,D44,D49,D54,D57,D60,D64,D66,D69,D73,D75,D80,D83,D88,D90,D95,D98,D102,D106,D110,D114,D119,D123,D127,D130,D133,D135,D138,D144,D147)</f>
        <v>20392.762679845218</v>
      </c>
    </row>
    <row r="153" spans="1:5">
      <c r="A153" s="67" t="s">
        <v>56</v>
      </c>
    </row>
    <row r="154" spans="1:5">
      <c r="A154" s="50" t="s">
        <v>57</v>
      </c>
    </row>
    <row r="155" spans="1:5" ht="15" customHeight="1">
      <c r="A155" s="140" t="s">
        <v>58</v>
      </c>
      <c r="B155" s="140"/>
      <c r="C155" s="140"/>
      <c r="D155" s="140"/>
      <c r="E155" s="68"/>
    </row>
    <row r="156" spans="1:5">
      <c r="A156" s="140"/>
      <c r="B156" s="140"/>
      <c r="C156" s="140"/>
      <c r="D156" s="140"/>
      <c r="E156" s="68"/>
    </row>
    <row r="157" spans="1:5">
      <c r="A157" s="50" t="s">
        <v>59</v>
      </c>
    </row>
    <row r="158" spans="1:5" ht="17.25">
      <c r="A158" s="69" t="s">
        <v>60</v>
      </c>
    </row>
    <row r="159" spans="1:5" ht="17.25">
      <c r="A159" s="50" t="s">
        <v>61</v>
      </c>
      <c r="B159" s="68"/>
      <c r="C159" s="68"/>
      <c r="D159" s="68"/>
    </row>
    <row r="160" spans="1:5" ht="17.25">
      <c r="A160" s="70" t="s">
        <v>62</v>
      </c>
    </row>
    <row r="161" spans="1:5" ht="17.25">
      <c r="A161" s="50" t="s">
        <v>63</v>
      </c>
    </row>
    <row r="162" spans="1:5" ht="17.25">
      <c r="A162" s="50" t="s">
        <v>64</v>
      </c>
      <c r="E162" s="71"/>
    </row>
    <row r="163" spans="1:5">
      <c r="A163" s="140" t="s">
        <v>65</v>
      </c>
      <c r="B163" s="140"/>
      <c r="C163" s="140"/>
      <c r="D163" s="140"/>
      <c r="E163" s="133" t="s">
        <v>66</v>
      </c>
    </row>
    <row r="165" spans="1:5">
      <c r="A165" s="72" t="s">
        <v>67</v>
      </c>
      <c r="B165" s="72"/>
    </row>
    <row r="166" spans="1:5">
      <c r="A166" s="43" t="s">
        <v>68</v>
      </c>
      <c r="B166" s="130" t="s">
        <v>69</v>
      </c>
    </row>
    <row r="167" spans="1:5">
      <c r="A167" s="73" t="s">
        <v>12</v>
      </c>
      <c r="B167" s="131" t="s">
        <v>70</v>
      </c>
    </row>
    <row r="168" spans="1:5">
      <c r="A168" s="73" t="s">
        <v>23</v>
      </c>
      <c r="B168" s="131" t="s">
        <v>71</v>
      </c>
    </row>
    <row r="169" spans="1:5">
      <c r="A169" s="73" t="s">
        <v>25</v>
      </c>
      <c r="B169" s="131" t="s">
        <v>72</v>
      </c>
    </row>
    <row r="170" spans="1:5">
      <c r="A170" s="73" t="s">
        <v>26</v>
      </c>
      <c r="B170" s="131" t="s">
        <v>73</v>
      </c>
    </row>
    <row r="171" spans="1:5">
      <c r="A171" s="73" t="s">
        <v>35</v>
      </c>
      <c r="B171" s="131" t="s">
        <v>74</v>
      </c>
    </row>
    <row r="172" spans="1:5">
      <c r="A172" s="73" t="s">
        <v>37</v>
      </c>
      <c r="B172" s="131" t="s">
        <v>75</v>
      </c>
    </row>
    <row r="173" spans="1:5">
      <c r="A173" s="73" t="s">
        <v>53</v>
      </c>
      <c r="B173" s="131" t="s">
        <v>76</v>
      </c>
    </row>
    <row r="174" spans="1:5">
      <c r="A174" s="73" t="s">
        <v>55</v>
      </c>
      <c r="B174" s="131" t="s">
        <v>77</v>
      </c>
    </row>
    <row r="175" spans="1:5">
      <c r="A175" s="46" t="s">
        <v>4</v>
      </c>
      <c r="B175" s="45"/>
    </row>
  </sheetData>
  <mergeCells count="2">
    <mergeCell ref="A155:D156"/>
    <mergeCell ref="A163:D163"/>
  </mergeCells>
  <pageMargins left="0.7" right="0.7" top="0.75" bottom="0.75" header="0.3" footer="0.3"/>
  <pageSetup orientation="portrait" verticalDpi="0" r:id="rId1"/>
  <headerFooter>
    <oddFooter>&amp;L&amp;1#&amp;"Calibri"&amp;9&amp;K000000INTERNAL.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F5EF-D899-4171-A1DB-367A1E06A589}">
  <sheetPr>
    <tabColor rgb="FF4F81BD"/>
  </sheetPr>
  <dimension ref="A1:R806"/>
  <sheetViews>
    <sheetView workbookViewId="0">
      <pane ySplit="2" topLeftCell="A3" activePane="bottomLeft" state="frozen"/>
      <selection pane="bottomLeft"/>
    </sheetView>
  </sheetViews>
  <sheetFormatPr defaultColWidth="9.140625" defaultRowHeight="15"/>
  <cols>
    <col min="1" max="1" width="65.85546875" style="75" customWidth="1"/>
    <col min="2" max="4" width="11.5703125" style="75" customWidth="1"/>
    <col min="5" max="5" width="9.140625" style="75" customWidth="1"/>
    <col min="6" max="6" width="52.28515625" style="75" bestFit="1" customWidth="1"/>
    <col min="7" max="7" width="8" style="75" customWidth="1"/>
    <col min="8" max="8" width="10.5703125" style="75" customWidth="1"/>
    <col min="9" max="9" width="8" style="75" customWidth="1"/>
    <col min="10" max="10" width="10.5703125" style="75" customWidth="1"/>
    <col min="11" max="11" width="8" style="75" customWidth="1"/>
    <col min="12" max="12" width="10.5703125" style="75" customWidth="1"/>
    <col min="13" max="13" width="8" style="75" customWidth="1"/>
    <col min="14" max="14" width="10.5703125" style="75" customWidth="1"/>
    <col min="15" max="15" width="8" style="75" customWidth="1"/>
    <col min="16" max="16" width="10.5703125" style="75" customWidth="1"/>
    <col min="17" max="17" width="8" style="75" customWidth="1"/>
    <col min="18" max="18" width="10.5703125" style="75" customWidth="1"/>
    <col min="19" max="16384" width="9.140625" style="75"/>
  </cols>
  <sheetData>
    <row r="1" spans="1:18" ht="17.25">
      <c r="A1" s="74" t="s">
        <v>78</v>
      </c>
      <c r="B1" s="74"/>
      <c r="C1" s="74"/>
      <c r="D1" s="74"/>
      <c r="F1" s="76"/>
      <c r="G1" s="77" t="s">
        <v>79</v>
      </c>
      <c r="H1" s="77"/>
      <c r="I1" s="118" t="s">
        <v>80</v>
      </c>
      <c r="J1" s="119"/>
      <c r="K1" s="77" t="s">
        <v>81</v>
      </c>
      <c r="L1" s="77"/>
      <c r="M1" s="78" t="s">
        <v>82</v>
      </c>
      <c r="N1" s="77"/>
      <c r="O1" s="118" t="s">
        <v>83</v>
      </c>
      <c r="P1" s="77"/>
      <c r="Q1" s="78" t="s">
        <v>84</v>
      </c>
      <c r="R1" s="77"/>
    </row>
    <row r="2" spans="1:18" ht="47.25">
      <c r="A2" s="79" t="s">
        <v>85</v>
      </c>
      <c r="B2" s="80" t="s">
        <v>86</v>
      </c>
      <c r="C2" s="81" t="s">
        <v>87</v>
      </c>
      <c r="D2" s="81" t="s">
        <v>88</v>
      </c>
      <c r="F2" s="82" t="s">
        <v>85</v>
      </c>
      <c r="G2" s="80" t="s">
        <v>86</v>
      </c>
      <c r="H2" s="81" t="s">
        <v>89</v>
      </c>
      <c r="I2" s="120" t="s">
        <v>86</v>
      </c>
      <c r="J2" s="121" t="s">
        <v>89</v>
      </c>
      <c r="K2" s="80" t="s">
        <v>86</v>
      </c>
      <c r="L2" s="81" t="s">
        <v>89</v>
      </c>
      <c r="M2" s="83" t="s">
        <v>86</v>
      </c>
      <c r="N2" s="81" t="s">
        <v>89</v>
      </c>
      <c r="O2" s="120" t="s">
        <v>86</v>
      </c>
      <c r="P2" s="122" t="s">
        <v>89</v>
      </c>
      <c r="Q2" s="83" t="s">
        <v>86</v>
      </c>
      <c r="R2" s="81" t="s">
        <v>89</v>
      </c>
    </row>
    <row r="3" spans="1:18">
      <c r="A3" s="84" t="s">
        <v>5</v>
      </c>
      <c r="B3" s="85">
        <f>B4+B16</f>
        <v>197</v>
      </c>
      <c r="C3" s="86">
        <f>C4+C16</f>
        <v>6939.5601118239365</v>
      </c>
      <c r="D3" s="87">
        <f>D4+D16</f>
        <v>0.99999999999999989</v>
      </c>
      <c r="F3" s="84" t="s">
        <v>5</v>
      </c>
      <c r="G3" s="85">
        <f>SUM(G5:G15)</f>
        <v>25</v>
      </c>
      <c r="H3" s="86">
        <f t="shared" ref="H3:R3" si="0">SUM(H5:H15)</f>
        <v>977.05493482999987</v>
      </c>
      <c r="I3" s="85">
        <f t="shared" si="0"/>
        <v>81</v>
      </c>
      <c r="J3" s="86">
        <f t="shared" si="0"/>
        <v>5841.57</v>
      </c>
      <c r="K3" s="85">
        <f t="shared" si="0"/>
        <v>0</v>
      </c>
      <c r="L3" s="86">
        <f t="shared" si="0"/>
        <v>0</v>
      </c>
      <c r="M3" s="85">
        <f t="shared" si="0"/>
        <v>0</v>
      </c>
      <c r="N3" s="86">
        <f t="shared" si="0"/>
        <v>0</v>
      </c>
      <c r="O3" s="85">
        <f t="shared" si="0"/>
        <v>89</v>
      </c>
      <c r="P3" s="86">
        <f t="shared" si="0"/>
        <v>120.68412699393684</v>
      </c>
      <c r="Q3" s="85">
        <f t="shared" si="0"/>
        <v>2</v>
      </c>
      <c r="R3" s="86">
        <f t="shared" si="0"/>
        <v>0.25105</v>
      </c>
    </row>
    <row r="4" spans="1:18">
      <c r="A4" s="88" t="s">
        <v>90</v>
      </c>
      <c r="B4" s="89">
        <f>SUM(B5:B15)</f>
        <v>195</v>
      </c>
      <c r="C4" s="90">
        <f>SUM(C5:C15)</f>
        <v>6939.3090618239366</v>
      </c>
      <c r="D4" s="91">
        <f>SUM(D5:D15)</f>
        <v>0.9999638233553777</v>
      </c>
      <c r="F4" s="92"/>
      <c r="G4" s="89"/>
      <c r="H4" s="90"/>
      <c r="I4" s="89"/>
      <c r="J4" s="90"/>
      <c r="K4" s="89"/>
      <c r="L4" s="90"/>
      <c r="M4" s="89"/>
      <c r="N4" s="90"/>
      <c r="O4" s="89"/>
      <c r="P4" s="90"/>
      <c r="Q4" s="89"/>
      <c r="R4" s="90"/>
    </row>
    <row r="5" spans="1:18">
      <c r="A5" s="93" t="s">
        <v>91</v>
      </c>
      <c r="B5" s="94">
        <f t="shared" ref="B5:B15" si="1">G5+I5+K5+M5+O5</f>
        <v>61</v>
      </c>
      <c r="C5" s="95">
        <f t="shared" ref="C5:C15" si="2">H5+J5+L5+N5+P5</f>
        <v>1555.8129287099998</v>
      </c>
      <c r="D5" s="96">
        <f>C5/$C$3</f>
        <v>0.22419474774188286</v>
      </c>
      <c r="F5" s="97" t="s">
        <v>91</v>
      </c>
      <c r="G5" s="135">
        <v>8</v>
      </c>
      <c r="H5" s="136">
        <v>181.22463585</v>
      </c>
      <c r="I5" s="135">
        <v>25</v>
      </c>
      <c r="J5" s="136">
        <v>1342.82</v>
      </c>
      <c r="K5" s="135">
        <v>0</v>
      </c>
      <c r="L5" s="136">
        <v>0</v>
      </c>
      <c r="M5" s="135">
        <v>0</v>
      </c>
      <c r="N5" s="136">
        <v>0</v>
      </c>
      <c r="O5" s="135">
        <v>28</v>
      </c>
      <c r="P5" s="136">
        <v>31.768292860000003</v>
      </c>
      <c r="Q5" s="135">
        <v>0</v>
      </c>
      <c r="R5" s="136">
        <v>0</v>
      </c>
    </row>
    <row r="6" spans="1:18">
      <c r="A6" s="93" t="s">
        <v>92</v>
      </c>
      <c r="B6" s="94">
        <f t="shared" si="1"/>
        <v>2</v>
      </c>
      <c r="C6" s="95">
        <f t="shared" si="2"/>
        <v>4.0972</v>
      </c>
      <c r="D6" s="96">
        <f t="shared" ref="D6:D18" si="3">C6/$C$3</f>
        <v>5.904120627212387E-4</v>
      </c>
      <c r="F6" s="97" t="s">
        <v>92</v>
      </c>
      <c r="G6" s="135">
        <v>0</v>
      </c>
      <c r="H6" s="136">
        <v>0</v>
      </c>
      <c r="I6" s="135">
        <v>1</v>
      </c>
      <c r="J6" s="136">
        <v>4</v>
      </c>
      <c r="K6" s="135">
        <v>0</v>
      </c>
      <c r="L6" s="136">
        <v>0</v>
      </c>
      <c r="M6" s="135">
        <v>0</v>
      </c>
      <c r="N6" s="136">
        <v>0</v>
      </c>
      <c r="O6" s="135">
        <v>1</v>
      </c>
      <c r="P6" s="136">
        <v>9.7200000000000009E-2</v>
      </c>
      <c r="Q6" s="135">
        <v>0</v>
      </c>
      <c r="R6" s="136">
        <v>0</v>
      </c>
    </row>
    <row r="7" spans="1:18">
      <c r="A7" s="93" t="s">
        <v>93</v>
      </c>
      <c r="B7" s="94">
        <f t="shared" si="1"/>
        <v>48</v>
      </c>
      <c r="C7" s="95">
        <f t="shared" si="2"/>
        <v>2138.8730916372729</v>
      </c>
      <c r="D7" s="96">
        <f t="shared" si="3"/>
        <v>0.30821450598762939</v>
      </c>
      <c r="F7" s="97" t="s">
        <v>93</v>
      </c>
      <c r="G7" s="135">
        <v>5</v>
      </c>
      <c r="H7" s="136">
        <v>83.883143910000001</v>
      </c>
      <c r="I7" s="135">
        <v>23</v>
      </c>
      <c r="J7" s="136">
        <v>2036.0800000000002</v>
      </c>
      <c r="K7" s="135">
        <v>0</v>
      </c>
      <c r="L7" s="136">
        <v>0</v>
      </c>
      <c r="M7" s="135">
        <v>0</v>
      </c>
      <c r="N7" s="136">
        <v>0</v>
      </c>
      <c r="O7" s="135">
        <v>20</v>
      </c>
      <c r="P7" s="136">
        <v>18.909947727272726</v>
      </c>
      <c r="Q7" s="135">
        <v>0</v>
      </c>
      <c r="R7" s="136">
        <v>0</v>
      </c>
    </row>
    <row r="8" spans="1:18">
      <c r="A8" s="93" t="s">
        <v>94</v>
      </c>
      <c r="B8" s="94">
        <f t="shared" si="1"/>
        <v>5</v>
      </c>
      <c r="C8" s="95">
        <f t="shared" si="2"/>
        <v>67.849149399999988</v>
      </c>
      <c r="D8" s="96">
        <f t="shared" si="3"/>
        <v>9.7771542153508462E-3</v>
      </c>
      <c r="F8" s="97" t="s">
        <v>94</v>
      </c>
      <c r="G8" s="135">
        <v>1</v>
      </c>
      <c r="H8" s="136">
        <v>5.1408154000000001</v>
      </c>
      <c r="I8" s="135">
        <v>2</v>
      </c>
      <c r="J8" s="136">
        <v>60</v>
      </c>
      <c r="K8" s="135">
        <v>0</v>
      </c>
      <c r="L8" s="136">
        <v>0</v>
      </c>
      <c r="M8" s="135">
        <v>0</v>
      </c>
      <c r="N8" s="136">
        <v>0</v>
      </c>
      <c r="O8" s="135">
        <v>2</v>
      </c>
      <c r="P8" s="136">
        <v>2.7083340000000002</v>
      </c>
      <c r="Q8" s="135">
        <v>1</v>
      </c>
      <c r="R8" s="136">
        <v>0.125525</v>
      </c>
    </row>
    <row r="9" spans="1:18">
      <c r="A9" s="93" t="s">
        <v>95</v>
      </c>
      <c r="B9" s="94">
        <f t="shared" si="1"/>
        <v>3</v>
      </c>
      <c r="C9" s="95">
        <f t="shared" si="2"/>
        <v>96.628751992973918</v>
      </c>
      <c r="D9" s="96">
        <f t="shared" si="3"/>
        <v>1.3924333882249031E-2</v>
      </c>
      <c r="F9" s="97" t="s">
        <v>95</v>
      </c>
      <c r="G9" s="135">
        <v>0</v>
      </c>
      <c r="H9" s="136">
        <v>0</v>
      </c>
      <c r="I9" s="135">
        <v>3</v>
      </c>
      <c r="J9" s="136">
        <v>93</v>
      </c>
      <c r="K9" s="135">
        <v>0</v>
      </c>
      <c r="L9" s="136">
        <v>0</v>
      </c>
      <c r="M9" s="135">
        <v>0</v>
      </c>
      <c r="N9" s="136">
        <v>0</v>
      </c>
      <c r="O9" s="135">
        <v>0</v>
      </c>
      <c r="P9" s="136">
        <v>3.628751992973922</v>
      </c>
      <c r="Q9" s="135">
        <v>0</v>
      </c>
      <c r="R9" s="136">
        <v>0</v>
      </c>
    </row>
    <row r="10" spans="1:18">
      <c r="A10" s="93" t="s">
        <v>96</v>
      </c>
      <c r="B10" s="94">
        <f t="shared" si="1"/>
        <v>5</v>
      </c>
      <c r="C10" s="95">
        <f t="shared" si="2"/>
        <v>8.8127210199999997</v>
      </c>
      <c r="D10" s="96">
        <f t="shared" si="3"/>
        <v>1.2699250208935415E-3</v>
      </c>
      <c r="F10" s="97" t="s">
        <v>96</v>
      </c>
      <c r="G10" s="135">
        <v>1</v>
      </c>
      <c r="H10" s="136">
        <v>5.7</v>
      </c>
      <c r="I10" s="135">
        <v>0</v>
      </c>
      <c r="J10" s="136">
        <v>0</v>
      </c>
      <c r="K10" s="135">
        <v>0</v>
      </c>
      <c r="L10" s="136">
        <v>0</v>
      </c>
      <c r="M10" s="135">
        <v>0</v>
      </c>
      <c r="N10" s="136">
        <v>0</v>
      </c>
      <c r="O10" s="135">
        <v>4</v>
      </c>
      <c r="P10" s="136">
        <v>3.1127210199999999</v>
      </c>
      <c r="Q10" s="135">
        <v>1</v>
      </c>
      <c r="R10" s="136">
        <v>0.125525</v>
      </c>
    </row>
    <row r="11" spans="1:18">
      <c r="A11" s="93" t="s">
        <v>97</v>
      </c>
      <c r="B11" s="94">
        <f t="shared" si="1"/>
        <v>0</v>
      </c>
      <c r="C11" s="95">
        <f t="shared" si="2"/>
        <v>0.26315845102052426</v>
      </c>
      <c r="D11" s="96">
        <f t="shared" si="3"/>
        <v>3.792148879467778E-5</v>
      </c>
      <c r="F11" s="97" t="s">
        <v>97</v>
      </c>
      <c r="G11" s="135">
        <v>0</v>
      </c>
      <c r="H11" s="136">
        <v>0</v>
      </c>
      <c r="I11" s="135">
        <v>0</v>
      </c>
      <c r="J11" s="136">
        <v>0</v>
      </c>
      <c r="K11" s="135">
        <v>0</v>
      </c>
      <c r="L11" s="136">
        <v>0</v>
      </c>
      <c r="M11" s="135">
        <v>0</v>
      </c>
      <c r="N11" s="136">
        <v>0</v>
      </c>
      <c r="O11" s="135">
        <v>0</v>
      </c>
      <c r="P11" s="136">
        <v>0.26315845102052426</v>
      </c>
      <c r="Q11" s="135">
        <v>0</v>
      </c>
      <c r="R11" s="136">
        <v>0</v>
      </c>
    </row>
    <row r="12" spans="1:18">
      <c r="A12" s="93" t="s">
        <v>98</v>
      </c>
      <c r="B12" s="94">
        <f t="shared" si="1"/>
        <v>3</v>
      </c>
      <c r="C12" s="95">
        <f t="shared" si="2"/>
        <v>183.83540227</v>
      </c>
      <c r="D12" s="96">
        <f t="shared" si="3"/>
        <v>2.649093016094391E-2</v>
      </c>
      <c r="F12" s="97" t="s">
        <v>98</v>
      </c>
      <c r="G12" s="135">
        <v>1</v>
      </c>
      <c r="H12" s="136">
        <v>165.89193827</v>
      </c>
      <c r="I12" s="135">
        <v>0</v>
      </c>
      <c r="J12" s="136">
        <v>0</v>
      </c>
      <c r="K12" s="135">
        <v>0</v>
      </c>
      <c r="L12" s="136">
        <v>0</v>
      </c>
      <c r="M12" s="135">
        <v>0</v>
      </c>
      <c r="N12" s="136">
        <v>0</v>
      </c>
      <c r="O12" s="135">
        <v>2</v>
      </c>
      <c r="P12" s="136">
        <v>17.943463999999999</v>
      </c>
      <c r="Q12" s="135">
        <v>0</v>
      </c>
      <c r="R12" s="136">
        <v>0</v>
      </c>
    </row>
    <row r="13" spans="1:18">
      <c r="A13" s="93" t="s">
        <v>99</v>
      </c>
      <c r="B13" s="94">
        <f t="shared" si="1"/>
        <v>20</v>
      </c>
      <c r="C13" s="95">
        <f t="shared" si="2"/>
        <v>183.23017536600298</v>
      </c>
      <c r="D13" s="96">
        <f t="shared" si="3"/>
        <v>2.6403716145322685E-2</v>
      </c>
      <c r="F13" s="97" t="s">
        <v>99</v>
      </c>
      <c r="G13" s="135">
        <v>1</v>
      </c>
      <c r="H13" s="136">
        <v>48.505563359999996</v>
      </c>
      <c r="I13" s="135">
        <v>2</v>
      </c>
      <c r="J13" s="136">
        <v>107</v>
      </c>
      <c r="K13" s="135">
        <v>0</v>
      </c>
      <c r="L13" s="136">
        <v>0</v>
      </c>
      <c r="M13" s="135">
        <v>0</v>
      </c>
      <c r="N13" s="136">
        <v>0</v>
      </c>
      <c r="O13" s="135">
        <v>17</v>
      </c>
      <c r="P13" s="136">
        <v>27.724612006002999</v>
      </c>
      <c r="Q13" s="135">
        <v>0</v>
      </c>
      <c r="R13" s="136">
        <v>0</v>
      </c>
    </row>
    <row r="14" spans="1:18">
      <c r="A14" s="93" t="s">
        <v>100</v>
      </c>
      <c r="B14" s="94">
        <f t="shared" si="1"/>
        <v>47</v>
      </c>
      <c r="C14" s="95">
        <f t="shared" si="2"/>
        <v>2684.8874829766669</v>
      </c>
      <c r="D14" s="96">
        <f t="shared" si="3"/>
        <v>0.38689591843177984</v>
      </c>
      <c r="F14" s="97" t="s">
        <v>100</v>
      </c>
      <c r="G14" s="135">
        <v>8</v>
      </c>
      <c r="H14" s="136">
        <v>486.70883803999999</v>
      </c>
      <c r="I14" s="135">
        <v>24</v>
      </c>
      <c r="J14" s="136">
        <v>2183.67</v>
      </c>
      <c r="K14" s="135">
        <v>0</v>
      </c>
      <c r="L14" s="136">
        <v>0</v>
      </c>
      <c r="M14" s="135">
        <v>0</v>
      </c>
      <c r="N14" s="136">
        <v>0</v>
      </c>
      <c r="O14" s="135">
        <v>15</v>
      </c>
      <c r="P14" s="136">
        <v>14.508644936666666</v>
      </c>
      <c r="Q14" s="135">
        <v>0</v>
      </c>
      <c r="R14" s="136">
        <v>0</v>
      </c>
    </row>
    <row r="15" spans="1:18">
      <c r="A15" s="93" t="s">
        <v>101</v>
      </c>
      <c r="B15" s="94">
        <f t="shared" si="1"/>
        <v>1</v>
      </c>
      <c r="C15" s="95">
        <f t="shared" si="2"/>
        <v>15.019</v>
      </c>
      <c r="D15" s="96">
        <f t="shared" si="3"/>
        <v>2.1642582178097928E-3</v>
      </c>
      <c r="F15" s="97" t="s">
        <v>101</v>
      </c>
      <c r="G15" s="135">
        <v>0</v>
      </c>
      <c r="H15" s="136">
        <v>0</v>
      </c>
      <c r="I15" s="135">
        <v>1</v>
      </c>
      <c r="J15" s="136">
        <v>15</v>
      </c>
      <c r="K15" s="135">
        <v>0</v>
      </c>
      <c r="L15" s="136">
        <v>0</v>
      </c>
      <c r="M15" s="135">
        <v>0</v>
      </c>
      <c r="N15" s="136">
        <v>0</v>
      </c>
      <c r="O15" s="135">
        <v>0</v>
      </c>
      <c r="P15" s="136">
        <v>1.9000000000000003E-2</v>
      </c>
      <c r="Q15" s="135">
        <v>0</v>
      </c>
      <c r="R15" s="136">
        <v>0</v>
      </c>
    </row>
    <row r="16" spans="1:18" ht="17.25">
      <c r="A16" s="104" t="s">
        <v>102</v>
      </c>
      <c r="B16" s="89">
        <f>SUM(B17:B18)</f>
        <v>2</v>
      </c>
      <c r="C16" s="90">
        <f>SUM(C17:C18)</f>
        <v>0.25105</v>
      </c>
      <c r="D16" s="91">
        <f>SUM(D17:D18)</f>
        <v>3.6176644622221752E-5</v>
      </c>
      <c r="E16" s="123"/>
      <c r="F16" s="97"/>
      <c r="G16" s="135"/>
      <c r="H16" s="136"/>
      <c r="I16" s="135"/>
      <c r="J16" s="136"/>
      <c r="K16" s="135"/>
      <c r="L16" s="136"/>
      <c r="M16" s="135"/>
      <c r="N16" s="136"/>
      <c r="O16" s="135"/>
      <c r="P16" s="136"/>
      <c r="Q16" s="135"/>
      <c r="R16" s="136"/>
    </row>
    <row r="17" spans="1:18">
      <c r="A17" s="93" t="s">
        <v>94</v>
      </c>
      <c r="B17" s="94">
        <f>Q8</f>
        <v>1</v>
      </c>
      <c r="C17" s="95">
        <f>R8</f>
        <v>0.125525</v>
      </c>
      <c r="D17" s="96">
        <f t="shared" si="3"/>
        <v>1.8088322311110876E-5</v>
      </c>
      <c r="F17" s="97"/>
      <c r="G17" s="135"/>
      <c r="H17" s="136"/>
      <c r="I17" s="135"/>
      <c r="J17" s="136"/>
      <c r="K17" s="135"/>
      <c r="L17" s="136"/>
      <c r="M17" s="135"/>
      <c r="N17" s="136"/>
      <c r="O17" s="135"/>
      <c r="P17" s="136"/>
      <c r="Q17" s="135"/>
      <c r="R17" s="136"/>
    </row>
    <row r="18" spans="1:18">
      <c r="A18" s="93" t="s">
        <v>96</v>
      </c>
      <c r="B18" s="94">
        <f>Q10</f>
        <v>1</v>
      </c>
      <c r="C18" s="95">
        <f>R10</f>
        <v>0.125525</v>
      </c>
      <c r="D18" s="96">
        <f t="shared" si="3"/>
        <v>1.8088322311110876E-5</v>
      </c>
      <c r="F18" s="97"/>
      <c r="G18" s="135"/>
      <c r="H18" s="136"/>
      <c r="I18" s="135"/>
      <c r="J18" s="136"/>
      <c r="K18" s="135"/>
      <c r="L18" s="136"/>
      <c r="M18" s="135"/>
      <c r="N18" s="136"/>
      <c r="O18" s="135"/>
      <c r="P18" s="136"/>
      <c r="Q18" s="135"/>
      <c r="R18" s="136"/>
    </row>
    <row r="19" spans="1:18">
      <c r="A19" s="84" t="s">
        <v>7</v>
      </c>
      <c r="B19" s="85">
        <f>B20+B32</f>
        <v>1017</v>
      </c>
      <c r="C19" s="86">
        <f>C20+C32</f>
        <v>1845.1191957657086</v>
      </c>
      <c r="D19" s="87">
        <f>D20+D32</f>
        <v>1</v>
      </c>
      <c r="F19" s="84" t="s">
        <v>7</v>
      </c>
      <c r="G19" s="85">
        <f>SUM(G21:G31)</f>
        <v>36</v>
      </c>
      <c r="H19" s="86">
        <f t="shared" ref="H19:R19" si="4">SUM(H21:H31)</f>
        <v>1637.38433775</v>
      </c>
      <c r="I19" s="85">
        <f t="shared" si="4"/>
        <v>1</v>
      </c>
      <c r="J19" s="86">
        <f t="shared" si="4"/>
        <v>2</v>
      </c>
      <c r="K19" s="85">
        <f t="shared" si="4"/>
        <v>1</v>
      </c>
      <c r="L19" s="86">
        <f t="shared" si="4"/>
        <v>30</v>
      </c>
      <c r="M19" s="85">
        <f t="shared" si="4"/>
        <v>0</v>
      </c>
      <c r="N19" s="86">
        <f t="shared" si="4"/>
        <v>0</v>
      </c>
      <c r="O19" s="85">
        <f t="shared" si="4"/>
        <v>39</v>
      </c>
      <c r="P19" s="86">
        <f t="shared" si="4"/>
        <v>33.834474205728654</v>
      </c>
      <c r="Q19" s="85">
        <f t="shared" si="4"/>
        <v>940</v>
      </c>
      <c r="R19" s="86">
        <f t="shared" si="4"/>
        <v>141.90038380998001</v>
      </c>
    </row>
    <row r="20" spans="1:18">
      <c r="A20" s="88" t="s">
        <v>90</v>
      </c>
      <c r="B20" s="89">
        <f>SUM(B21:B31)</f>
        <v>77</v>
      </c>
      <c r="C20" s="90">
        <f>SUM(C21:C31)</f>
        <v>1703.2188119557286</v>
      </c>
      <c r="D20" s="91">
        <f>SUM(D21:D31)</f>
        <v>0.92309419134784276</v>
      </c>
      <c r="F20" s="92"/>
      <c r="G20" s="89"/>
      <c r="H20" s="90"/>
      <c r="I20" s="89"/>
      <c r="J20" s="90"/>
      <c r="K20" s="89"/>
      <c r="L20" s="90"/>
      <c r="M20" s="89"/>
      <c r="N20" s="90"/>
      <c r="O20" s="89"/>
      <c r="P20" s="90"/>
      <c r="Q20" s="89"/>
      <c r="R20" s="90"/>
    </row>
    <row r="21" spans="1:18">
      <c r="A21" s="93" t="s">
        <v>91</v>
      </c>
      <c r="B21" s="94">
        <f t="shared" ref="B21:B31" si="5">G21+I21+K21+M21+O21</f>
        <v>2</v>
      </c>
      <c r="C21" s="95">
        <f t="shared" ref="C21:C31" si="6">H21+J21+L21+N21+P21</f>
        <v>33.175378889935807</v>
      </c>
      <c r="D21" s="96">
        <f>C21/$C$19</f>
        <v>1.7980073572519694E-2</v>
      </c>
      <c r="F21" s="97" t="s">
        <v>91</v>
      </c>
      <c r="G21" s="135">
        <v>1</v>
      </c>
      <c r="H21" s="136">
        <v>32</v>
      </c>
      <c r="I21" s="135">
        <v>0</v>
      </c>
      <c r="J21" s="136">
        <v>0</v>
      </c>
      <c r="K21" s="135">
        <v>0</v>
      </c>
      <c r="L21" s="136">
        <v>0</v>
      </c>
      <c r="M21" s="135">
        <v>0</v>
      </c>
      <c r="N21" s="136">
        <v>0</v>
      </c>
      <c r="O21" s="135">
        <v>1</v>
      </c>
      <c r="P21" s="136">
        <v>1.1753788899358086</v>
      </c>
      <c r="Q21" s="135">
        <v>0</v>
      </c>
      <c r="R21" s="136">
        <v>0</v>
      </c>
    </row>
    <row r="22" spans="1:18">
      <c r="A22" s="93" t="s">
        <v>92</v>
      </c>
      <c r="B22" s="94">
        <f t="shared" si="5"/>
        <v>2</v>
      </c>
      <c r="C22" s="95">
        <f t="shared" si="6"/>
        <v>3.25</v>
      </c>
      <c r="D22" s="96">
        <f t="shared" ref="D22:D34" si="7">C22/$C$19</f>
        <v>1.761403820120834E-3</v>
      </c>
      <c r="F22" s="97" t="s">
        <v>92</v>
      </c>
      <c r="G22" s="135">
        <v>0</v>
      </c>
      <c r="H22" s="136">
        <v>0</v>
      </c>
      <c r="I22" s="135">
        <v>0</v>
      </c>
      <c r="J22" s="136">
        <v>0</v>
      </c>
      <c r="K22" s="135">
        <v>0</v>
      </c>
      <c r="L22" s="136">
        <v>0</v>
      </c>
      <c r="M22" s="135">
        <v>0</v>
      </c>
      <c r="N22" s="136">
        <v>0</v>
      </c>
      <c r="O22" s="135">
        <v>2</v>
      </c>
      <c r="P22" s="136">
        <v>3.25</v>
      </c>
      <c r="Q22" s="135">
        <v>0</v>
      </c>
      <c r="R22" s="136">
        <v>0</v>
      </c>
    </row>
    <row r="23" spans="1:18">
      <c r="A23" s="93" t="s">
        <v>93</v>
      </c>
      <c r="B23" s="94">
        <f t="shared" si="5"/>
        <v>9</v>
      </c>
      <c r="C23" s="95">
        <f t="shared" si="6"/>
        <v>227.09810131223347</v>
      </c>
      <c r="D23" s="96">
        <f t="shared" si="7"/>
        <v>0.12308045021340192</v>
      </c>
      <c r="F23" s="97" t="s">
        <v>93</v>
      </c>
      <c r="G23" s="135">
        <v>6</v>
      </c>
      <c r="H23" s="136">
        <v>225.22234162000001</v>
      </c>
      <c r="I23" s="135">
        <v>0</v>
      </c>
      <c r="J23" s="136">
        <v>0</v>
      </c>
      <c r="K23" s="135">
        <v>0</v>
      </c>
      <c r="L23" s="136">
        <v>0</v>
      </c>
      <c r="M23" s="135">
        <v>0</v>
      </c>
      <c r="N23" s="136">
        <v>0</v>
      </c>
      <c r="O23" s="135">
        <v>3</v>
      </c>
      <c r="P23" s="136">
        <v>1.8757596922334683</v>
      </c>
      <c r="Q23" s="135">
        <v>0</v>
      </c>
      <c r="R23" s="136">
        <v>0</v>
      </c>
    </row>
    <row r="24" spans="1:18">
      <c r="A24" s="93" t="s">
        <v>94</v>
      </c>
      <c r="B24" s="94">
        <f t="shared" si="5"/>
        <v>16</v>
      </c>
      <c r="C24" s="95">
        <f t="shared" si="6"/>
        <v>390.07680380842106</v>
      </c>
      <c r="D24" s="96">
        <f t="shared" si="7"/>
        <v>0.21141008380574705</v>
      </c>
      <c r="F24" s="97" t="s">
        <v>94</v>
      </c>
      <c r="G24" s="135">
        <v>12</v>
      </c>
      <c r="H24" s="136">
        <v>356.34769342999999</v>
      </c>
      <c r="I24" s="135">
        <v>0</v>
      </c>
      <c r="J24" s="136">
        <v>0</v>
      </c>
      <c r="K24" s="135">
        <v>1</v>
      </c>
      <c r="L24" s="136">
        <v>30</v>
      </c>
      <c r="M24" s="135">
        <v>0</v>
      </c>
      <c r="N24" s="136">
        <v>0</v>
      </c>
      <c r="O24" s="135">
        <v>3</v>
      </c>
      <c r="P24" s="136">
        <v>3.7291103784210522</v>
      </c>
      <c r="Q24" s="135">
        <v>539</v>
      </c>
      <c r="R24" s="136">
        <v>84.125298859990011</v>
      </c>
    </row>
    <row r="25" spans="1:18">
      <c r="A25" s="93" t="s">
        <v>95</v>
      </c>
      <c r="B25" s="94">
        <f t="shared" si="5"/>
        <v>2</v>
      </c>
      <c r="C25" s="95">
        <f t="shared" si="6"/>
        <v>14.10505081786547</v>
      </c>
      <c r="D25" s="96">
        <f t="shared" si="7"/>
        <v>7.6445201211036099E-3</v>
      </c>
      <c r="F25" s="97" t="s">
        <v>95</v>
      </c>
      <c r="G25" s="135">
        <v>1</v>
      </c>
      <c r="H25" s="136">
        <v>10.0163674</v>
      </c>
      <c r="I25" s="135">
        <v>1</v>
      </c>
      <c r="J25" s="136">
        <v>2</v>
      </c>
      <c r="K25" s="135">
        <v>0</v>
      </c>
      <c r="L25" s="136">
        <v>0</v>
      </c>
      <c r="M25" s="135">
        <v>0</v>
      </c>
      <c r="N25" s="136">
        <v>0</v>
      </c>
      <c r="O25" s="135">
        <v>0</v>
      </c>
      <c r="P25" s="136">
        <v>2.0886834178654703</v>
      </c>
      <c r="Q25" s="135">
        <v>0</v>
      </c>
      <c r="R25" s="136">
        <v>0</v>
      </c>
    </row>
    <row r="26" spans="1:18">
      <c r="A26" s="93" t="s">
        <v>96</v>
      </c>
      <c r="B26" s="94">
        <f t="shared" si="5"/>
        <v>2</v>
      </c>
      <c r="C26" s="95">
        <f t="shared" si="6"/>
        <v>1.4233367899999998</v>
      </c>
      <c r="D26" s="96">
        <f t="shared" si="7"/>
        <v>7.7140641822293077E-4</v>
      </c>
      <c r="F26" s="97" t="s">
        <v>96</v>
      </c>
      <c r="G26" s="135">
        <v>0</v>
      </c>
      <c r="H26" s="136">
        <v>0</v>
      </c>
      <c r="I26" s="135">
        <v>0</v>
      </c>
      <c r="J26" s="136">
        <v>0</v>
      </c>
      <c r="K26" s="135">
        <v>0</v>
      </c>
      <c r="L26" s="136">
        <v>0</v>
      </c>
      <c r="M26" s="135">
        <v>0</v>
      </c>
      <c r="N26" s="136">
        <v>0</v>
      </c>
      <c r="O26" s="135">
        <v>2</v>
      </c>
      <c r="P26" s="136">
        <v>1.4233367899999998</v>
      </c>
      <c r="Q26" s="135">
        <v>401</v>
      </c>
      <c r="R26" s="136">
        <v>57.775084949990003</v>
      </c>
    </row>
    <row r="27" spans="1:18">
      <c r="A27" s="93" t="s">
        <v>97</v>
      </c>
      <c r="B27" s="94">
        <f t="shared" si="5"/>
        <v>0</v>
      </c>
      <c r="C27" s="95">
        <f t="shared" si="6"/>
        <v>0.26536890556597881</v>
      </c>
      <c r="D27" s="96">
        <f t="shared" si="7"/>
        <v>1.4382209354006151E-4</v>
      </c>
      <c r="F27" s="97" t="s">
        <v>97</v>
      </c>
      <c r="G27" s="135">
        <v>0</v>
      </c>
      <c r="H27" s="136">
        <v>0</v>
      </c>
      <c r="I27" s="135">
        <v>0</v>
      </c>
      <c r="J27" s="136">
        <v>0</v>
      </c>
      <c r="K27" s="135">
        <v>0</v>
      </c>
      <c r="L27" s="136">
        <v>0</v>
      </c>
      <c r="M27" s="135">
        <v>0</v>
      </c>
      <c r="N27" s="136">
        <v>0</v>
      </c>
      <c r="O27" s="135">
        <v>0</v>
      </c>
      <c r="P27" s="136">
        <v>0.26536890556597881</v>
      </c>
      <c r="Q27" s="135">
        <v>0</v>
      </c>
      <c r="R27" s="136">
        <v>0</v>
      </c>
    </row>
    <row r="28" spans="1:18">
      <c r="A28" s="93" t="s">
        <v>98</v>
      </c>
      <c r="B28" s="94">
        <f t="shared" si="5"/>
        <v>3</v>
      </c>
      <c r="C28" s="95">
        <f t="shared" si="6"/>
        <v>80.186064460000011</v>
      </c>
      <c r="D28" s="96">
        <f t="shared" si="7"/>
        <v>4.3458473926245987E-2</v>
      </c>
      <c r="F28" s="97" t="s">
        <v>98</v>
      </c>
      <c r="G28" s="135">
        <v>2</v>
      </c>
      <c r="H28" s="136">
        <v>79.459673460000005</v>
      </c>
      <c r="I28" s="135">
        <v>0</v>
      </c>
      <c r="J28" s="136">
        <v>0</v>
      </c>
      <c r="K28" s="135">
        <v>0</v>
      </c>
      <c r="L28" s="136">
        <v>0</v>
      </c>
      <c r="M28" s="135">
        <v>0</v>
      </c>
      <c r="N28" s="136">
        <v>0</v>
      </c>
      <c r="O28" s="135">
        <v>1</v>
      </c>
      <c r="P28" s="136">
        <v>0.72639100000000001</v>
      </c>
      <c r="Q28" s="135">
        <v>0</v>
      </c>
      <c r="R28" s="136">
        <v>0</v>
      </c>
    </row>
    <row r="29" spans="1:18">
      <c r="A29" s="93" t="s">
        <v>99</v>
      </c>
      <c r="B29" s="94">
        <f t="shared" si="5"/>
        <v>10</v>
      </c>
      <c r="C29" s="95">
        <f t="shared" si="6"/>
        <v>142.40130660350175</v>
      </c>
      <c r="D29" s="96">
        <f t="shared" si="7"/>
        <v>7.7177293982032658E-2</v>
      </c>
      <c r="F29" s="97" t="s">
        <v>99</v>
      </c>
      <c r="G29" s="135">
        <v>2</v>
      </c>
      <c r="H29" s="136">
        <v>137.10156660000001</v>
      </c>
      <c r="I29" s="135">
        <v>0</v>
      </c>
      <c r="J29" s="136">
        <v>0</v>
      </c>
      <c r="K29" s="135">
        <v>0</v>
      </c>
      <c r="L29" s="136">
        <v>0</v>
      </c>
      <c r="M29" s="135">
        <v>0</v>
      </c>
      <c r="N29" s="136">
        <v>0</v>
      </c>
      <c r="O29" s="135">
        <v>8</v>
      </c>
      <c r="P29" s="136">
        <v>5.2997400035017508</v>
      </c>
      <c r="Q29" s="135">
        <v>0</v>
      </c>
      <c r="R29" s="136">
        <v>0</v>
      </c>
    </row>
    <row r="30" spans="1:18">
      <c r="A30" s="93" t="s">
        <v>100</v>
      </c>
      <c r="B30" s="94">
        <f t="shared" si="5"/>
        <v>18</v>
      </c>
      <c r="C30" s="95">
        <f t="shared" si="6"/>
        <v>636.40230972999996</v>
      </c>
      <c r="D30" s="96">
        <f t="shared" si="7"/>
        <v>0.3449112183052751</v>
      </c>
      <c r="F30" s="97" t="s">
        <v>100</v>
      </c>
      <c r="G30" s="135">
        <v>9</v>
      </c>
      <c r="H30" s="136">
        <v>630.45980972999996</v>
      </c>
      <c r="I30" s="135">
        <v>0</v>
      </c>
      <c r="J30" s="136">
        <v>0</v>
      </c>
      <c r="K30" s="135">
        <v>0</v>
      </c>
      <c r="L30" s="136">
        <v>0</v>
      </c>
      <c r="M30" s="135">
        <v>0</v>
      </c>
      <c r="N30" s="136">
        <v>0</v>
      </c>
      <c r="O30" s="135">
        <v>9</v>
      </c>
      <c r="P30" s="136">
        <v>5.942499999999999</v>
      </c>
      <c r="Q30" s="135">
        <v>0</v>
      </c>
      <c r="R30" s="136">
        <v>0</v>
      </c>
    </row>
    <row r="31" spans="1:18">
      <c r="A31" s="93" t="s">
        <v>101</v>
      </c>
      <c r="B31" s="94">
        <f t="shared" si="5"/>
        <v>13</v>
      </c>
      <c r="C31" s="95">
        <f t="shared" si="6"/>
        <v>174.83509063820512</v>
      </c>
      <c r="D31" s="96">
        <f t="shared" si="7"/>
        <v>9.475544508963285E-2</v>
      </c>
      <c r="F31" s="97" t="s">
        <v>101</v>
      </c>
      <c r="G31" s="135">
        <v>3</v>
      </c>
      <c r="H31" s="136">
        <v>166.77688551</v>
      </c>
      <c r="I31" s="135">
        <v>0</v>
      </c>
      <c r="J31" s="136">
        <v>0</v>
      </c>
      <c r="K31" s="135">
        <v>0</v>
      </c>
      <c r="L31" s="136">
        <v>0</v>
      </c>
      <c r="M31" s="135">
        <v>0</v>
      </c>
      <c r="N31" s="136">
        <v>0</v>
      </c>
      <c r="O31" s="135">
        <v>10</v>
      </c>
      <c r="P31" s="136">
        <v>8.0582051282051257</v>
      </c>
      <c r="Q31" s="135">
        <v>0</v>
      </c>
      <c r="R31" s="136">
        <v>0</v>
      </c>
    </row>
    <row r="32" spans="1:18" ht="17.25">
      <c r="A32" s="104" t="s">
        <v>103</v>
      </c>
      <c r="B32" s="89">
        <f>SUM(B33:B34)</f>
        <v>940</v>
      </c>
      <c r="C32" s="90">
        <f>SUM(C33:C34)</f>
        <v>141.90038380998001</v>
      </c>
      <c r="D32" s="91">
        <f>SUM(D33:D34)</f>
        <v>7.6905808652157334E-2</v>
      </c>
      <c r="E32" s="123"/>
      <c r="F32" s="97"/>
      <c r="G32" s="135"/>
      <c r="H32" s="136"/>
      <c r="I32" s="135"/>
      <c r="J32" s="136"/>
      <c r="K32" s="135"/>
      <c r="L32" s="136"/>
      <c r="M32" s="135"/>
      <c r="N32" s="136"/>
      <c r="O32" s="135"/>
      <c r="P32" s="136"/>
      <c r="Q32" s="135"/>
      <c r="R32" s="136"/>
    </row>
    <row r="33" spans="1:18">
      <c r="A33" s="93" t="s">
        <v>94</v>
      </c>
      <c r="B33" s="94">
        <f>Q24</f>
        <v>539</v>
      </c>
      <c r="C33" s="95">
        <f>R24</f>
        <v>84.125298859990011</v>
      </c>
      <c r="D33" s="96">
        <f t="shared" si="7"/>
        <v>4.5593422394090227E-2</v>
      </c>
      <c r="F33" s="97"/>
      <c r="G33" s="135"/>
      <c r="H33" s="136"/>
      <c r="I33" s="135"/>
      <c r="J33" s="136"/>
      <c r="K33" s="135"/>
      <c r="L33" s="136"/>
      <c r="M33" s="135"/>
      <c r="N33" s="136"/>
      <c r="O33" s="135"/>
      <c r="P33" s="136"/>
      <c r="Q33" s="135"/>
      <c r="R33" s="136"/>
    </row>
    <row r="34" spans="1:18">
      <c r="A34" s="93" t="s">
        <v>96</v>
      </c>
      <c r="B34" s="94">
        <f>Q26</f>
        <v>401</v>
      </c>
      <c r="C34" s="95">
        <f>R26</f>
        <v>57.775084949990003</v>
      </c>
      <c r="D34" s="96">
        <f t="shared" si="7"/>
        <v>3.1312386258067107E-2</v>
      </c>
      <c r="F34" s="97"/>
      <c r="G34" s="135"/>
      <c r="H34" s="136"/>
      <c r="I34" s="135"/>
      <c r="J34" s="136"/>
      <c r="K34" s="135"/>
      <c r="L34" s="136"/>
      <c r="M34" s="135"/>
      <c r="N34" s="136"/>
      <c r="O34" s="135"/>
      <c r="P34" s="136"/>
      <c r="Q34" s="135"/>
      <c r="R34" s="136"/>
    </row>
    <row r="35" spans="1:18">
      <c r="A35" s="84" t="s">
        <v>11</v>
      </c>
      <c r="B35" s="85">
        <f>B36+B48</f>
        <v>138</v>
      </c>
      <c r="C35" s="86">
        <f>C36+C48</f>
        <v>5270.9477475492058</v>
      </c>
      <c r="D35" s="87">
        <f>D36+D48</f>
        <v>1</v>
      </c>
      <c r="F35" s="84" t="s">
        <v>11</v>
      </c>
      <c r="G35" s="85">
        <f>SUM(G37:G47)</f>
        <v>35</v>
      </c>
      <c r="H35" s="86">
        <f t="shared" ref="H35:R35" si="8">SUM(H37:H47)</f>
        <v>4688.8936268199996</v>
      </c>
      <c r="I35" s="85">
        <f t="shared" si="8"/>
        <v>1</v>
      </c>
      <c r="J35" s="86">
        <f t="shared" si="8"/>
        <v>2.5</v>
      </c>
      <c r="K35" s="85">
        <f t="shared" si="8"/>
        <v>0</v>
      </c>
      <c r="L35" s="86">
        <f t="shared" si="8"/>
        <v>0</v>
      </c>
      <c r="M35" s="85">
        <f t="shared" si="8"/>
        <v>1</v>
      </c>
      <c r="N35" s="86">
        <f t="shared" si="8"/>
        <v>498.27499999999998</v>
      </c>
      <c r="O35" s="85">
        <f t="shared" si="8"/>
        <v>47</v>
      </c>
      <c r="P35" s="86">
        <f t="shared" si="8"/>
        <v>41.472766089206303</v>
      </c>
      <c r="Q35" s="85">
        <f t="shared" si="8"/>
        <v>54</v>
      </c>
      <c r="R35" s="86">
        <f t="shared" si="8"/>
        <v>39.806354639999995</v>
      </c>
    </row>
    <row r="36" spans="1:18">
      <c r="A36" s="88" t="s">
        <v>90</v>
      </c>
      <c r="B36" s="89">
        <f>SUM(B37:B47)</f>
        <v>84</v>
      </c>
      <c r="C36" s="90">
        <f>SUM(C37:C47)</f>
        <v>5231.1413929092059</v>
      </c>
      <c r="D36" s="91">
        <f>SUM(D37:D47)</f>
        <v>0.99244797016655906</v>
      </c>
      <c r="F36" s="92"/>
      <c r="G36" s="89"/>
      <c r="H36" s="90"/>
      <c r="I36" s="89"/>
      <c r="J36" s="90"/>
      <c r="K36" s="89"/>
      <c r="L36" s="90"/>
      <c r="M36" s="89"/>
      <c r="N36" s="90"/>
      <c r="O36" s="89"/>
      <c r="P36" s="90"/>
      <c r="Q36" s="89"/>
      <c r="R36" s="90"/>
    </row>
    <row r="37" spans="1:18">
      <c r="A37" s="93" t="s">
        <v>91</v>
      </c>
      <c r="B37" s="94">
        <f t="shared" ref="B37:B47" si="9">G37+I37+K37+M37+O37</f>
        <v>5</v>
      </c>
      <c r="C37" s="95">
        <f t="shared" ref="C37:C47" si="10">H37+J37+L37+N37+P37</f>
        <v>31.834472639935807</v>
      </c>
      <c r="D37" s="96">
        <f>C37/$C$35</f>
        <v>6.0396107426292835E-3</v>
      </c>
      <c r="F37" s="97" t="s">
        <v>91</v>
      </c>
      <c r="G37" s="135">
        <v>2</v>
      </c>
      <c r="H37" s="136">
        <v>28.628618899999999</v>
      </c>
      <c r="I37" s="135">
        <v>0</v>
      </c>
      <c r="J37" s="136">
        <v>0</v>
      </c>
      <c r="K37" s="135">
        <v>0</v>
      </c>
      <c r="L37" s="136">
        <v>0</v>
      </c>
      <c r="M37" s="135">
        <v>0</v>
      </c>
      <c r="N37" s="136">
        <v>0</v>
      </c>
      <c r="O37" s="135">
        <v>3</v>
      </c>
      <c r="P37" s="136">
        <v>3.2058537399358089</v>
      </c>
      <c r="Q37" s="135">
        <v>0</v>
      </c>
      <c r="R37" s="136">
        <v>0</v>
      </c>
    </row>
    <row r="38" spans="1:18">
      <c r="A38" s="93" t="s">
        <v>92</v>
      </c>
      <c r="B38" s="94">
        <f t="shared" si="9"/>
        <v>1</v>
      </c>
      <c r="C38" s="95">
        <f t="shared" si="10"/>
        <v>0.97222200000000003</v>
      </c>
      <c r="D38" s="96">
        <f>C38/$C$35</f>
        <v>1.844491819240756E-4</v>
      </c>
      <c r="F38" s="97" t="s">
        <v>92</v>
      </c>
      <c r="G38" s="135">
        <v>0</v>
      </c>
      <c r="H38" s="136">
        <v>0</v>
      </c>
      <c r="I38" s="135">
        <v>0</v>
      </c>
      <c r="J38" s="136">
        <v>0</v>
      </c>
      <c r="K38" s="135">
        <v>0</v>
      </c>
      <c r="L38" s="136">
        <v>0</v>
      </c>
      <c r="M38" s="135">
        <v>0</v>
      </c>
      <c r="N38" s="136">
        <v>0</v>
      </c>
      <c r="O38" s="135">
        <v>1</v>
      </c>
      <c r="P38" s="136">
        <v>0.97222200000000003</v>
      </c>
      <c r="Q38" s="135">
        <v>0</v>
      </c>
      <c r="R38" s="136">
        <v>0</v>
      </c>
    </row>
    <row r="39" spans="1:18">
      <c r="A39" s="93" t="s">
        <v>93</v>
      </c>
      <c r="B39" s="94">
        <f t="shared" si="9"/>
        <v>15</v>
      </c>
      <c r="C39" s="95">
        <f t="shared" si="10"/>
        <v>1715.4272377895061</v>
      </c>
      <c r="D39" s="96">
        <f t="shared" ref="D39:D50" si="11">C39/$C$35</f>
        <v>0.3254494864964495</v>
      </c>
      <c r="F39" s="97" t="s">
        <v>93</v>
      </c>
      <c r="G39" s="135">
        <v>6</v>
      </c>
      <c r="H39" s="136">
        <v>1210.0992053699999</v>
      </c>
      <c r="I39" s="135">
        <v>0</v>
      </c>
      <c r="J39" s="136">
        <v>0</v>
      </c>
      <c r="K39" s="135">
        <v>0</v>
      </c>
      <c r="L39" s="136">
        <v>0</v>
      </c>
      <c r="M39" s="135">
        <v>1</v>
      </c>
      <c r="N39" s="136">
        <v>498.27499999999998</v>
      </c>
      <c r="O39" s="135">
        <v>8</v>
      </c>
      <c r="P39" s="136">
        <v>7.053032419506196</v>
      </c>
      <c r="Q39" s="135">
        <v>0</v>
      </c>
      <c r="R39" s="136">
        <v>0</v>
      </c>
    </row>
    <row r="40" spans="1:18">
      <c r="A40" s="93" t="s">
        <v>94</v>
      </c>
      <c r="B40" s="94">
        <f t="shared" si="9"/>
        <v>12</v>
      </c>
      <c r="C40" s="95">
        <f t="shared" si="10"/>
        <v>197.34904736842105</v>
      </c>
      <c r="D40" s="96">
        <f t="shared" si="11"/>
        <v>3.7440903765396084E-2</v>
      </c>
      <c r="F40" s="97" t="s">
        <v>94</v>
      </c>
      <c r="G40" s="135">
        <v>7</v>
      </c>
      <c r="H40" s="136">
        <v>193</v>
      </c>
      <c r="I40" s="135">
        <v>0</v>
      </c>
      <c r="J40" s="136">
        <v>0</v>
      </c>
      <c r="K40" s="135">
        <v>0</v>
      </c>
      <c r="L40" s="136">
        <v>0</v>
      </c>
      <c r="M40" s="135">
        <v>0</v>
      </c>
      <c r="N40" s="136">
        <v>0</v>
      </c>
      <c r="O40" s="135">
        <v>5</v>
      </c>
      <c r="P40" s="136">
        <v>4.3490473684210524</v>
      </c>
      <c r="Q40" s="135">
        <v>28</v>
      </c>
      <c r="R40" s="136">
        <v>19.903177319999998</v>
      </c>
    </row>
    <row r="41" spans="1:18">
      <c r="A41" s="93" t="s">
        <v>95</v>
      </c>
      <c r="B41" s="94">
        <f t="shared" si="9"/>
        <v>3</v>
      </c>
      <c r="C41" s="95">
        <f t="shared" si="10"/>
        <v>252.93868341786546</v>
      </c>
      <c r="D41" s="96">
        <f t="shared" si="11"/>
        <v>4.7987325151434584E-2</v>
      </c>
      <c r="F41" s="97" t="s">
        <v>95</v>
      </c>
      <c r="G41" s="135">
        <v>1</v>
      </c>
      <c r="H41" s="136">
        <v>250</v>
      </c>
      <c r="I41" s="135">
        <v>0</v>
      </c>
      <c r="J41" s="136">
        <v>0</v>
      </c>
      <c r="K41" s="135">
        <v>0</v>
      </c>
      <c r="L41" s="136">
        <v>0</v>
      </c>
      <c r="M41" s="135">
        <v>0</v>
      </c>
      <c r="N41" s="136">
        <v>0</v>
      </c>
      <c r="O41" s="135">
        <v>2</v>
      </c>
      <c r="P41" s="136">
        <v>2.9386834178654704</v>
      </c>
      <c r="Q41" s="135">
        <v>0</v>
      </c>
      <c r="R41" s="136">
        <v>0</v>
      </c>
    </row>
    <row r="42" spans="1:18">
      <c r="A42" s="93" t="s">
        <v>96</v>
      </c>
      <c r="B42" s="94">
        <f t="shared" si="9"/>
        <v>0</v>
      </c>
      <c r="C42" s="95">
        <f t="shared" si="10"/>
        <v>0.58146179000000009</v>
      </c>
      <c r="D42" s="96">
        <f t="shared" si="11"/>
        <v>1.1031446674278989E-4</v>
      </c>
      <c r="F42" s="97" t="s">
        <v>96</v>
      </c>
      <c r="G42" s="135">
        <v>0</v>
      </c>
      <c r="H42" s="136">
        <v>0</v>
      </c>
      <c r="I42" s="135">
        <v>0</v>
      </c>
      <c r="J42" s="136">
        <v>0</v>
      </c>
      <c r="K42" s="135">
        <v>0</v>
      </c>
      <c r="L42" s="136">
        <v>0</v>
      </c>
      <c r="M42" s="135">
        <v>0</v>
      </c>
      <c r="N42" s="136">
        <v>0</v>
      </c>
      <c r="O42" s="135">
        <v>0</v>
      </c>
      <c r="P42" s="136">
        <v>0.58146179000000009</v>
      </c>
      <c r="Q42" s="135">
        <v>26</v>
      </c>
      <c r="R42" s="136">
        <v>19.903177319999998</v>
      </c>
    </row>
    <row r="43" spans="1:18">
      <c r="A43" s="93" t="s">
        <v>97</v>
      </c>
      <c r="B43" s="94">
        <f t="shared" si="9"/>
        <v>1</v>
      </c>
      <c r="C43" s="95">
        <f t="shared" si="10"/>
        <v>1.0156774510205244</v>
      </c>
      <c r="D43" s="96">
        <f t="shared" si="11"/>
        <v>1.9269351541054009E-4</v>
      </c>
      <c r="F43" s="97" t="s">
        <v>97</v>
      </c>
      <c r="G43" s="135">
        <v>0</v>
      </c>
      <c r="H43" s="136">
        <v>0</v>
      </c>
      <c r="I43" s="135">
        <v>0</v>
      </c>
      <c r="J43" s="136">
        <v>0</v>
      </c>
      <c r="K43" s="135">
        <v>0</v>
      </c>
      <c r="L43" s="136">
        <v>0</v>
      </c>
      <c r="M43" s="135">
        <v>0</v>
      </c>
      <c r="N43" s="136">
        <v>0</v>
      </c>
      <c r="O43" s="135">
        <v>1</v>
      </c>
      <c r="P43" s="136">
        <v>1.0156774510205244</v>
      </c>
      <c r="Q43" s="135">
        <v>0</v>
      </c>
      <c r="R43" s="136">
        <v>0</v>
      </c>
    </row>
    <row r="44" spans="1:18">
      <c r="A44" s="93" t="s">
        <v>98</v>
      </c>
      <c r="B44" s="94">
        <f t="shared" si="9"/>
        <v>0</v>
      </c>
      <c r="C44" s="95">
        <f t="shared" si="10"/>
        <v>0.152863</v>
      </c>
      <c r="D44" s="96">
        <f t="shared" si="11"/>
        <v>2.900104636231228E-5</v>
      </c>
      <c r="F44" s="97" t="s">
        <v>98</v>
      </c>
      <c r="G44" s="135">
        <v>0</v>
      </c>
      <c r="H44" s="136">
        <v>0</v>
      </c>
      <c r="I44" s="135">
        <v>0</v>
      </c>
      <c r="J44" s="136">
        <v>0</v>
      </c>
      <c r="K44" s="135">
        <v>0</v>
      </c>
      <c r="L44" s="136">
        <v>0</v>
      </c>
      <c r="M44" s="135">
        <v>0</v>
      </c>
      <c r="N44" s="136">
        <v>0</v>
      </c>
      <c r="O44" s="135">
        <v>0</v>
      </c>
      <c r="P44" s="136">
        <v>0.152863</v>
      </c>
      <c r="Q44" s="135">
        <v>0</v>
      </c>
      <c r="R44" s="136">
        <v>0</v>
      </c>
    </row>
    <row r="45" spans="1:18">
      <c r="A45" s="93" t="s">
        <v>99</v>
      </c>
      <c r="B45" s="94">
        <f t="shared" si="9"/>
        <v>16</v>
      </c>
      <c r="C45" s="95">
        <f t="shared" si="10"/>
        <v>1007.9882415042521</v>
      </c>
      <c r="D45" s="96">
        <f t="shared" si="11"/>
        <v>0.19123472471775668</v>
      </c>
      <c r="F45" s="97" t="s">
        <v>99</v>
      </c>
      <c r="G45" s="135">
        <v>3</v>
      </c>
      <c r="H45" s="136">
        <v>1000</v>
      </c>
      <c r="I45" s="135">
        <v>0</v>
      </c>
      <c r="J45" s="136">
        <v>0</v>
      </c>
      <c r="K45" s="135">
        <v>0</v>
      </c>
      <c r="L45" s="136">
        <v>0</v>
      </c>
      <c r="M45" s="135">
        <v>0</v>
      </c>
      <c r="N45" s="136">
        <v>0</v>
      </c>
      <c r="O45" s="135">
        <v>13</v>
      </c>
      <c r="P45" s="136">
        <v>7.9882415042521249</v>
      </c>
      <c r="Q45" s="135">
        <v>0</v>
      </c>
      <c r="R45" s="136">
        <v>0</v>
      </c>
    </row>
    <row r="46" spans="1:18">
      <c r="A46" s="93" t="s">
        <v>100</v>
      </c>
      <c r="B46" s="94">
        <f t="shared" si="9"/>
        <v>21</v>
      </c>
      <c r="C46" s="95">
        <f t="shared" si="10"/>
        <v>1462.0740278199999</v>
      </c>
      <c r="D46" s="96">
        <f t="shared" si="11"/>
        <v>0.27738351769846509</v>
      </c>
      <c r="F46" s="97" t="s">
        <v>100</v>
      </c>
      <c r="G46" s="135">
        <v>11</v>
      </c>
      <c r="H46" s="136">
        <v>1452.8095495499999</v>
      </c>
      <c r="I46" s="135">
        <v>0</v>
      </c>
      <c r="J46" s="136">
        <v>0</v>
      </c>
      <c r="K46" s="135">
        <v>0</v>
      </c>
      <c r="L46" s="136">
        <v>0</v>
      </c>
      <c r="M46" s="135">
        <v>0</v>
      </c>
      <c r="N46" s="136">
        <v>0</v>
      </c>
      <c r="O46" s="135">
        <v>10</v>
      </c>
      <c r="P46" s="136">
        <v>9.2644782699999979</v>
      </c>
      <c r="Q46" s="135">
        <v>0</v>
      </c>
      <c r="R46" s="136">
        <v>0</v>
      </c>
    </row>
    <row r="47" spans="1:18">
      <c r="A47" s="93" t="s">
        <v>101</v>
      </c>
      <c r="B47" s="94">
        <f t="shared" si="9"/>
        <v>10</v>
      </c>
      <c r="C47" s="95">
        <f t="shared" si="10"/>
        <v>560.8074581282051</v>
      </c>
      <c r="D47" s="96">
        <f t="shared" si="11"/>
        <v>0.10639594338398814</v>
      </c>
      <c r="F47" s="97" t="s">
        <v>101</v>
      </c>
      <c r="G47" s="135">
        <v>5</v>
      </c>
      <c r="H47" s="136">
        <v>554.35625299999992</v>
      </c>
      <c r="I47" s="135">
        <v>1</v>
      </c>
      <c r="J47" s="136">
        <v>2.5</v>
      </c>
      <c r="K47" s="135">
        <v>0</v>
      </c>
      <c r="L47" s="136">
        <v>0</v>
      </c>
      <c r="M47" s="135">
        <v>0</v>
      </c>
      <c r="N47" s="136">
        <v>0</v>
      </c>
      <c r="O47" s="135">
        <v>4</v>
      </c>
      <c r="P47" s="136">
        <v>3.9512051282051277</v>
      </c>
      <c r="Q47" s="135">
        <v>0</v>
      </c>
      <c r="R47" s="136">
        <v>0</v>
      </c>
    </row>
    <row r="48" spans="1:18" ht="17.25">
      <c r="A48" s="104" t="s">
        <v>103</v>
      </c>
      <c r="B48" s="89">
        <f>SUM(B49:B50)</f>
        <v>54</v>
      </c>
      <c r="C48" s="90">
        <f>SUM(C49:C50)</f>
        <v>39.806354639999995</v>
      </c>
      <c r="D48" s="91">
        <f>SUM(D49:D50)</f>
        <v>7.5520298334409526E-3</v>
      </c>
      <c r="E48" s="123"/>
      <c r="F48" s="97"/>
      <c r="G48" s="135"/>
      <c r="H48" s="136"/>
      <c r="I48" s="135"/>
      <c r="J48" s="136"/>
      <c r="K48" s="135"/>
      <c r="L48" s="136"/>
      <c r="M48" s="135"/>
      <c r="N48" s="136"/>
      <c r="O48" s="135"/>
      <c r="P48" s="136"/>
      <c r="Q48" s="135"/>
      <c r="R48" s="136"/>
    </row>
    <row r="49" spans="1:18">
      <c r="A49" s="93" t="s">
        <v>94</v>
      </c>
      <c r="B49" s="94">
        <f>Q40</f>
        <v>28</v>
      </c>
      <c r="C49" s="95">
        <f>R40</f>
        <v>19.903177319999998</v>
      </c>
      <c r="D49" s="96">
        <f t="shared" si="11"/>
        <v>3.7760149167204763E-3</v>
      </c>
      <c r="F49" s="97"/>
      <c r="G49" s="135"/>
      <c r="H49" s="136"/>
      <c r="I49" s="135"/>
      <c r="J49" s="136"/>
      <c r="K49" s="135"/>
      <c r="L49" s="136"/>
      <c r="M49" s="135"/>
      <c r="N49" s="136"/>
      <c r="O49" s="135"/>
      <c r="P49" s="136"/>
      <c r="Q49" s="135"/>
      <c r="R49" s="136"/>
    </row>
    <row r="50" spans="1:18">
      <c r="A50" s="93" t="s">
        <v>96</v>
      </c>
      <c r="B50" s="94">
        <f>Q42</f>
        <v>26</v>
      </c>
      <c r="C50" s="95">
        <f>R42</f>
        <v>19.903177319999998</v>
      </c>
      <c r="D50" s="96">
        <f t="shared" si="11"/>
        <v>3.7760149167204763E-3</v>
      </c>
      <c r="F50" s="97"/>
      <c r="G50" s="135"/>
      <c r="H50" s="136"/>
      <c r="I50" s="135"/>
      <c r="J50" s="136"/>
      <c r="K50" s="135"/>
      <c r="L50" s="136"/>
      <c r="M50" s="135"/>
      <c r="N50" s="136"/>
      <c r="O50" s="135"/>
      <c r="P50" s="136"/>
      <c r="Q50" s="135"/>
      <c r="R50" s="136"/>
    </row>
    <row r="51" spans="1:18">
      <c r="A51" s="84" t="s">
        <v>12</v>
      </c>
      <c r="B51" s="85">
        <f>B52+B64</f>
        <v>14131</v>
      </c>
      <c r="C51" s="86">
        <f>C52+C64</f>
        <v>33656.912861799479</v>
      </c>
      <c r="D51" s="87">
        <f>D52+D64</f>
        <v>1</v>
      </c>
      <c r="F51" s="84" t="s">
        <v>12</v>
      </c>
      <c r="G51" s="85">
        <f>SUM(G53:G63)</f>
        <v>327</v>
      </c>
      <c r="H51" s="86">
        <f t="shared" ref="H51:R51" si="12">SUM(H53:H63)</f>
        <v>28321.647261829996</v>
      </c>
      <c r="I51" s="85">
        <f t="shared" si="12"/>
        <v>50</v>
      </c>
      <c r="J51" s="86">
        <f t="shared" si="12"/>
        <v>1003.582</v>
      </c>
      <c r="K51" s="85">
        <f t="shared" si="12"/>
        <v>1</v>
      </c>
      <c r="L51" s="86">
        <f t="shared" si="12"/>
        <v>60</v>
      </c>
      <c r="M51" s="85">
        <f t="shared" si="12"/>
        <v>0</v>
      </c>
      <c r="N51" s="86">
        <f t="shared" si="12"/>
        <v>0</v>
      </c>
      <c r="O51" s="85">
        <f t="shared" si="12"/>
        <v>456</v>
      </c>
      <c r="P51" s="86">
        <f t="shared" si="12"/>
        <v>326.98992224811809</v>
      </c>
      <c r="Q51" s="85">
        <f t="shared" si="12"/>
        <v>13297</v>
      </c>
      <c r="R51" s="86">
        <f t="shared" si="12"/>
        <v>3944.6936777213632</v>
      </c>
    </row>
    <row r="52" spans="1:18">
      <c r="A52" s="88" t="s">
        <v>90</v>
      </c>
      <c r="B52" s="89">
        <f>SUM(B53:B63)</f>
        <v>834</v>
      </c>
      <c r="C52" s="90">
        <f>SUM(C53:C63)</f>
        <v>29712.219184078116</v>
      </c>
      <c r="D52" s="91">
        <f>SUM(D53:D63)</f>
        <v>0.8827969251393053</v>
      </c>
      <c r="F52" s="92"/>
      <c r="G52" s="89"/>
      <c r="H52" s="90"/>
      <c r="I52" s="89"/>
      <c r="J52" s="90"/>
      <c r="K52" s="89"/>
      <c r="L52" s="90"/>
      <c r="M52" s="89"/>
      <c r="N52" s="90"/>
      <c r="O52" s="89"/>
      <c r="P52" s="90"/>
      <c r="Q52" s="89"/>
      <c r="R52" s="90"/>
    </row>
    <row r="53" spans="1:18">
      <c r="A53" s="93" t="s">
        <v>91</v>
      </c>
      <c r="B53" s="94">
        <f t="shared" ref="B53:B63" si="13">G53+I53+K53+M53+O53</f>
        <v>192</v>
      </c>
      <c r="C53" s="95">
        <f t="shared" ref="C53:C63" si="14">H53+J53+L53+N53+P53</f>
        <v>2878.6460674399996</v>
      </c>
      <c r="D53" s="96">
        <f>C53/$C$51</f>
        <v>8.552911787424379E-2</v>
      </c>
      <c r="F53" s="97" t="s">
        <v>91</v>
      </c>
      <c r="G53" s="135">
        <v>67</v>
      </c>
      <c r="H53" s="136">
        <v>2643.1035754399995</v>
      </c>
      <c r="I53" s="135">
        <v>13</v>
      </c>
      <c r="J53" s="136">
        <v>161.39000000000001</v>
      </c>
      <c r="K53" s="135">
        <v>0</v>
      </c>
      <c r="L53" s="136">
        <v>0</v>
      </c>
      <c r="M53" s="135">
        <v>0</v>
      </c>
      <c r="N53" s="136">
        <v>0</v>
      </c>
      <c r="O53" s="135">
        <v>112</v>
      </c>
      <c r="P53" s="136">
        <v>74.152492000000024</v>
      </c>
      <c r="Q53" s="135">
        <v>0</v>
      </c>
      <c r="R53" s="136">
        <v>0</v>
      </c>
    </row>
    <row r="54" spans="1:18">
      <c r="A54" s="93" t="s">
        <v>92</v>
      </c>
      <c r="B54" s="94">
        <f t="shared" si="13"/>
        <v>81</v>
      </c>
      <c r="C54" s="95">
        <f t="shared" si="14"/>
        <v>3275.4083092000001</v>
      </c>
      <c r="D54" s="96">
        <f t="shared" ref="D54:D66" si="15">C54/$C$51</f>
        <v>9.7317550265211078E-2</v>
      </c>
      <c r="F54" s="97" t="s">
        <v>92</v>
      </c>
      <c r="G54" s="135">
        <v>28</v>
      </c>
      <c r="H54" s="136">
        <v>2765.8138091999999</v>
      </c>
      <c r="I54" s="135">
        <v>5</v>
      </c>
      <c r="J54" s="136">
        <v>470</v>
      </c>
      <c r="K54" s="135">
        <v>0</v>
      </c>
      <c r="L54" s="136">
        <v>0</v>
      </c>
      <c r="M54" s="135">
        <v>0</v>
      </c>
      <c r="N54" s="136">
        <v>0</v>
      </c>
      <c r="O54" s="135">
        <v>48</v>
      </c>
      <c r="P54" s="136">
        <v>39.594500000000018</v>
      </c>
      <c r="Q54" s="135">
        <v>0</v>
      </c>
      <c r="R54" s="136">
        <v>0</v>
      </c>
    </row>
    <row r="55" spans="1:18">
      <c r="A55" s="93" t="s">
        <v>93</v>
      </c>
      <c r="B55" s="94">
        <f t="shared" si="13"/>
        <v>125</v>
      </c>
      <c r="C55" s="95">
        <f t="shared" si="14"/>
        <v>6501.6593706922322</v>
      </c>
      <c r="D55" s="96">
        <f t="shared" si="15"/>
        <v>0.19317456111881257</v>
      </c>
      <c r="F55" s="97" t="s">
        <v>93</v>
      </c>
      <c r="G55" s="135">
        <v>54</v>
      </c>
      <c r="H55" s="136">
        <v>6358.4931549999983</v>
      </c>
      <c r="I55" s="135">
        <v>10</v>
      </c>
      <c r="J55" s="136">
        <v>45.492000000000004</v>
      </c>
      <c r="K55" s="135">
        <v>1</v>
      </c>
      <c r="L55" s="136">
        <v>60</v>
      </c>
      <c r="M55" s="135">
        <v>0</v>
      </c>
      <c r="N55" s="136">
        <v>0</v>
      </c>
      <c r="O55" s="135">
        <v>60</v>
      </c>
      <c r="P55" s="136">
        <v>37.674215692233481</v>
      </c>
      <c r="Q55" s="135">
        <v>0</v>
      </c>
      <c r="R55" s="136">
        <v>0</v>
      </c>
    </row>
    <row r="56" spans="1:18">
      <c r="A56" s="93" t="s">
        <v>94</v>
      </c>
      <c r="B56" s="94">
        <f t="shared" si="13"/>
        <v>78</v>
      </c>
      <c r="C56" s="95">
        <f t="shared" si="14"/>
        <v>2646.005387958724</v>
      </c>
      <c r="D56" s="96">
        <f t="shared" si="15"/>
        <v>7.8616996122717303E-2</v>
      </c>
      <c r="F56" s="97" t="s">
        <v>94</v>
      </c>
      <c r="G56" s="135">
        <v>39</v>
      </c>
      <c r="H56" s="136">
        <v>2613.6213205599997</v>
      </c>
      <c r="I56" s="135">
        <v>2</v>
      </c>
      <c r="J56" s="136">
        <v>4</v>
      </c>
      <c r="K56" s="135">
        <v>0</v>
      </c>
      <c r="L56" s="136">
        <v>0</v>
      </c>
      <c r="M56" s="135">
        <v>0</v>
      </c>
      <c r="N56" s="136">
        <v>0</v>
      </c>
      <c r="O56" s="135">
        <v>37</v>
      </c>
      <c r="P56" s="136">
        <v>28.384067398724081</v>
      </c>
      <c r="Q56" s="135">
        <v>9533</v>
      </c>
      <c r="R56" s="136">
        <v>2745.0084919035503</v>
      </c>
    </row>
    <row r="57" spans="1:18">
      <c r="A57" s="93" t="s">
        <v>95</v>
      </c>
      <c r="B57" s="94">
        <f t="shared" si="13"/>
        <v>37</v>
      </c>
      <c r="C57" s="95">
        <f t="shared" si="14"/>
        <v>1439.7645002101378</v>
      </c>
      <c r="D57" s="96">
        <f t="shared" si="15"/>
        <v>4.2777675603286457E-2</v>
      </c>
      <c r="F57" s="97" t="s">
        <v>95</v>
      </c>
      <c r="G57" s="135">
        <v>10</v>
      </c>
      <c r="H57" s="136">
        <v>1359.2626924400001</v>
      </c>
      <c r="I57" s="135">
        <v>6</v>
      </c>
      <c r="J57" s="136">
        <v>65</v>
      </c>
      <c r="K57" s="135">
        <v>0</v>
      </c>
      <c r="L57" s="136">
        <v>0</v>
      </c>
      <c r="M57" s="135">
        <v>0</v>
      </c>
      <c r="N57" s="136">
        <v>0</v>
      </c>
      <c r="O57" s="135">
        <v>21</v>
      </c>
      <c r="P57" s="136">
        <v>15.50180777013775</v>
      </c>
      <c r="Q57" s="135">
        <v>0</v>
      </c>
      <c r="R57" s="136">
        <v>0</v>
      </c>
    </row>
    <row r="58" spans="1:18">
      <c r="A58" s="93" t="s">
        <v>96</v>
      </c>
      <c r="B58" s="94">
        <f t="shared" si="13"/>
        <v>38</v>
      </c>
      <c r="C58" s="95">
        <f t="shared" si="14"/>
        <v>668.37884309999981</v>
      </c>
      <c r="D58" s="96">
        <f t="shared" si="15"/>
        <v>1.9858590294495142E-2</v>
      </c>
      <c r="F58" s="97" t="s">
        <v>96</v>
      </c>
      <c r="G58" s="135">
        <v>17</v>
      </c>
      <c r="H58" s="136">
        <v>655.30587750999985</v>
      </c>
      <c r="I58" s="135">
        <v>0</v>
      </c>
      <c r="J58" s="136">
        <v>0</v>
      </c>
      <c r="K58" s="135">
        <v>0</v>
      </c>
      <c r="L58" s="136">
        <v>0</v>
      </c>
      <c r="M58" s="135">
        <v>0</v>
      </c>
      <c r="N58" s="136">
        <v>0</v>
      </c>
      <c r="O58" s="135">
        <v>21</v>
      </c>
      <c r="P58" s="136">
        <v>13.072965590000003</v>
      </c>
      <c r="Q58" s="135">
        <v>3764</v>
      </c>
      <c r="R58" s="136">
        <v>1199.6851858178129</v>
      </c>
    </row>
    <row r="59" spans="1:18">
      <c r="A59" s="93" t="s">
        <v>97</v>
      </c>
      <c r="B59" s="94">
        <f t="shared" si="13"/>
        <v>1</v>
      </c>
      <c r="C59" s="95">
        <f t="shared" si="14"/>
        <v>4.3392801355659785</v>
      </c>
      <c r="D59" s="96">
        <f t="shared" si="15"/>
        <v>1.2892686127761443E-4</v>
      </c>
      <c r="F59" s="97" t="s">
        <v>97</v>
      </c>
      <c r="G59" s="135">
        <v>1</v>
      </c>
      <c r="H59" s="136">
        <v>2.85581123</v>
      </c>
      <c r="I59" s="135">
        <v>0</v>
      </c>
      <c r="J59" s="136">
        <v>0</v>
      </c>
      <c r="K59" s="135">
        <v>0</v>
      </c>
      <c r="L59" s="136">
        <v>0</v>
      </c>
      <c r="M59" s="135">
        <v>0</v>
      </c>
      <c r="N59" s="136">
        <v>0</v>
      </c>
      <c r="O59" s="135">
        <v>0</v>
      </c>
      <c r="P59" s="136">
        <v>1.4834689055659787</v>
      </c>
      <c r="Q59" s="135">
        <v>0</v>
      </c>
      <c r="R59" s="136">
        <v>0</v>
      </c>
    </row>
    <row r="60" spans="1:18">
      <c r="A60" s="93" t="s">
        <v>98</v>
      </c>
      <c r="B60" s="94">
        <f t="shared" si="13"/>
        <v>17</v>
      </c>
      <c r="C60" s="95">
        <f t="shared" si="14"/>
        <v>792.64297713000008</v>
      </c>
      <c r="D60" s="96">
        <f t="shared" si="15"/>
        <v>2.3550673835854033E-2</v>
      </c>
      <c r="F60" s="97" t="s">
        <v>98</v>
      </c>
      <c r="G60" s="135">
        <v>6</v>
      </c>
      <c r="H60" s="136">
        <v>725.11151413000005</v>
      </c>
      <c r="I60" s="135">
        <v>4</v>
      </c>
      <c r="J60" s="136">
        <v>61.7</v>
      </c>
      <c r="K60" s="135">
        <v>0</v>
      </c>
      <c r="L60" s="136">
        <v>0</v>
      </c>
      <c r="M60" s="135">
        <v>0</v>
      </c>
      <c r="N60" s="136">
        <v>0</v>
      </c>
      <c r="O60" s="135">
        <v>7</v>
      </c>
      <c r="P60" s="136">
        <v>5.8314630000000003</v>
      </c>
      <c r="Q60" s="135">
        <v>0</v>
      </c>
      <c r="R60" s="136">
        <v>0</v>
      </c>
    </row>
    <row r="61" spans="1:18">
      <c r="A61" s="93" t="s">
        <v>99</v>
      </c>
      <c r="B61" s="94">
        <f t="shared" si="13"/>
        <v>62</v>
      </c>
      <c r="C61" s="95">
        <f t="shared" si="14"/>
        <v>2254.9390114632515</v>
      </c>
      <c r="D61" s="96">
        <f t="shared" si="15"/>
        <v>6.6997796878233665E-2</v>
      </c>
      <c r="F61" s="97" t="s">
        <v>99</v>
      </c>
      <c r="G61" s="135">
        <v>12</v>
      </c>
      <c r="H61" s="136">
        <v>2227.8453219600001</v>
      </c>
      <c r="I61" s="135">
        <v>0</v>
      </c>
      <c r="J61" s="136">
        <v>0</v>
      </c>
      <c r="K61" s="135">
        <v>0</v>
      </c>
      <c r="L61" s="136">
        <v>0</v>
      </c>
      <c r="M61" s="135">
        <v>0</v>
      </c>
      <c r="N61" s="136">
        <v>0</v>
      </c>
      <c r="O61" s="135">
        <v>50</v>
      </c>
      <c r="P61" s="136">
        <v>27.093689503251628</v>
      </c>
      <c r="Q61" s="135">
        <v>0</v>
      </c>
      <c r="R61" s="136">
        <v>0</v>
      </c>
    </row>
    <row r="62" spans="1:18">
      <c r="A62" s="93" t="s">
        <v>100</v>
      </c>
      <c r="B62" s="94">
        <f t="shared" si="13"/>
        <v>125</v>
      </c>
      <c r="C62" s="95">
        <f t="shared" si="14"/>
        <v>6455.5420711199995</v>
      </c>
      <c r="D62" s="96">
        <f t="shared" si="15"/>
        <v>0.1918043433640946</v>
      </c>
      <c r="F62" s="97" t="s">
        <v>100</v>
      </c>
      <c r="G62" s="135">
        <v>62</v>
      </c>
      <c r="H62" s="136">
        <v>6390.6789128599994</v>
      </c>
      <c r="I62" s="135">
        <v>2</v>
      </c>
      <c r="J62" s="136">
        <v>14.6</v>
      </c>
      <c r="K62" s="135">
        <v>0</v>
      </c>
      <c r="L62" s="136">
        <v>0</v>
      </c>
      <c r="M62" s="135">
        <v>0</v>
      </c>
      <c r="N62" s="136">
        <v>0</v>
      </c>
      <c r="O62" s="135">
        <v>61</v>
      </c>
      <c r="P62" s="136">
        <v>50.263158259999997</v>
      </c>
      <c r="Q62" s="135">
        <v>0</v>
      </c>
      <c r="R62" s="136">
        <v>0</v>
      </c>
    </row>
    <row r="63" spans="1:18">
      <c r="A63" s="93" t="s">
        <v>101</v>
      </c>
      <c r="B63" s="94">
        <f t="shared" si="13"/>
        <v>78</v>
      </c>
      <c r="C63" s="95">
        <f t="shared" si="14"/>
        <v>2794.8933656282047</v>
      </c>
      <c r="D63" s="96">
        <f t="shared" si="15"/>
        <v>8.3040692921079004E-2</v>
      </c>
      <c r="F63" s="97" t="s">
        <v>101</v>
      </c>
      <c r="G63" s="135">
        <v>31</v>
      </c>
      <c r="H63" s="136">
        <v>2579.5552714999994</v>
      </c>
      <c r="I63" s="135">
        <v>8</v>
      </c>
      <c r="J63" s="136">
        <v>181.4</v>
      </c>
      <c r="K63" s="135">
        <v>0</v>
      </c>
      <c r="L63" s="136">
        <v>0</v>
      </c>
      <c r="M63" s="135">
        <v>0</v>
      </c>
      <c r="N63" s="136">
        <v>0</v>
      </c>
      <c r="O63" s="135">
        <v>39</v>
      </c>
      <c r="P63" s="136">
        <v>33.938094128205115</v>
      </c>
      <c r="Q63" s="135">
        <v>0</v>
      </c>
      <c r="R63" s="136">
        <v>0</v>
      </c>
    </row>
    <row r="64" spans="1:18" ht="17.25">
      <c r="A64" s="104" t="s">
        <v>104</v>
      </c>
      <c r="B64" s="89">
        <f>SUM(B65:B66)</f>
        <v>13297</v>
      </c>
      <c r="C64" s="90">
        <f>SUM(C65:C66)</f>
        <v>3944.6936777213632</v>
      </c>
      <c r="D64" s="91">
        <f>SUM(D65:D66)</f>
        <v>0.11720307486069471</v>
      </c>
      <c r="E64" s="123"/>
      <c r="F64" s="97"/>
      <c r="G64" s="135"/>
      <c r="H64" s="136"/>
      <c r="I64" s="135"/>
      <c r="J64" s="136"/>
      <c r="K64" s="135"/>
      <c r="L64" s="136"/>
      <c r="M64" s="135"/>
      <c r="N64" s="136"/>
      <c r="O64" s="135"/>
      <c r="P64" s="136"/>
      <c r="Q64" s="135"/>
      <c r="R64" s="136"/>
    </row>
    <row r="65" spans="1:18">
      <c r="A65" s="93" t="s">
        <v>94</v>
      </c>
      <c r="B65" s="94">
        <f>Q56</f>
        <v>9533</v>
      </c>
      <c r="C65" s="95">
        <f>R56</f>
        <v>2745.0084919035503</v>
      </c>
      <c r="D65" s="96">
        <f t="shared" si="15"/>
        <v>8.1558534592135121E-2</v>
      </c>
      <c r="F65" s="97"/>
      <c r="G65" s="135"/>
      <c r="H65" s="136"/>
      <c r="I65" s="135"/>
      <c r="J65" s="136"/>
      <c r="K65" s="135"/>
      <c r="L65" s="136"/>
      <c r="M65" s="135"/>
      <c r="N65" s="136"/>
      <c r="O65" s="135"/>
      <c r="P65" s="136"/>
      <c r="Q65" s="135"/>
      <c r="R65" s="136"/>
    </row>
    <row r="66" spans="1:18">
      <c r="A66" s="93" t="s">
        <v>96</v>
      </c>
      <c r="B66" s="94">
        <f>Q58</f>
        <v>3764</v>
      </c>
      <c r="C66" s="95">
        <f>R58</f>
        <v>1199.6851858178129</v>
      </c>
      <c r="D66" s="96">
        <f t="shared" si="15"/>
        <v>3.5644540268559594E-2</v>
      </c>
      <c r="F66" s="97"/>
      <c r="G66" s="135"/>
      <c r="H66" s="136"/>
      <c r="I66" s="135"/>
      <c r="J66" s="136"/>
      <c r="K66" s="135"/>
      <c r="L66" s="136"/>
      <c r="M66" s="135"/>
      <c r="N66" s="136"/>
      <c r="O66" s="135"/>
      <c r="P66" s="136"/>
      <c r="Q66" s="135"/>
      <c r="R66" s="136"/>
    </row>
    <row r="67" spans="1:18">
      <c r="A67" s="84" t="s">
        <v>14</v>
      </c>
      <c r="B67" s="85">
        <f>B68+B80</f>
        <v>240</v>
      </c>
      <c r="C67" s="86">
        <f>C68+C80</f>
        <v>1205.0380792838305</v>
      </c>
      <c r="D67" s="87">
        <f>D68+D80</f>
        <v>0.99999999999999989</v>
      </c>
      <c r="F67" s="84" t="s">
        <v>14</v>
      </c>
      <c r="G67" s="85">
        <f>SUM(G69:G79)</f>
        <v>47</v>
      </c>
      <c r="H67" s="86">
        <f t="shared" ref="H67:R67" si="16">SUM(H69:H79)</f>
        <v>776.16704805999996</v>
      </c>
      <c r="I67" s="85">
        <f t="shared" si="16"/>
        <v>34</v>
      </c>
      <c r="J67" s="86">
        <f t="shared" si="16"/>
        <v>323.65999999999997</v>
      </c>
      <c r="K67" s="85">
        <f t="shared" si="16"/>
        <v>1</v>
      </c>
      <c r="L67" s="86">
        <f t="shared" si="16"/>
        <v>3</v>
      </c>
      <c r="M67" s="85">
        <f t="shared" si="16"/>
        <v>0</v>
      </c>
      <c r="N67" s="86">
        <f t="shared" si="16"/>
        <v>0</v>
      </c>
      <c r="O67" s="85">
        <f t="shared" si="16"/>
        <v>152</v>
      </c>
      <c r="P67" s="86">
        <f t="shared" si="16"/>
        <v>100.04391814383035</v>
      </c>
      <c r="Q67" s="85">
        <f t="shared" si="16"/>
        <v>6</v>
      </c>
      <c r="R67" s="86">
        <f t="shared" si="16"/>
        <v>2.1671130799999996</v>
      </c>
    </row>
    <row r="68" spans="1:18">
      <c r="A68" s="88" t="s">
        <v>90</v>
      </c>
      <c r="B68" s="89">
        <f>SUM(B69:B79)</f>
        <v>234</v>
      </c>
      <c r="C68" s="90">
        <f>SUM(C69:C79)</f>
        <v>1202.8709662038304</v>
      </c>
      <c r="D68" s="91">
        <f>SUM(D69:D79)</f>
        <v>0.99820162273935109</v>
      </c>
      <c r="F68" s="92"/>
      <c r="G68" s="89"/>
      <c r="H68" s="90"/>
      <c r="I68" s="89"/>
      <c r="J68" s="90"/>
      <c r="K68" s="89"/>
      <c r="L68" s="90"/>
      <c r="M68" s="89"/>
      <c r="N68" s="90"/>
      <c r="O68" s="89"/>
      <c r="P68" s="90"/>
      <c r="Q68" s="89"/>
      <c r="R68" s="90"/>
    </row>
    <row r="69" spans="1:18">
      <c r="A69" s="93" t="s">
        <v>91</v>
      </c>
      <c r="B69" s="94">
        <f t="shared" ref="B69:B79" si="17">G69+I69+K69+M69+O69</f>
        <v>30</v>
      </c>
      <c r="C69" s="95">
        <f t="shared" ref="C69:C79" si="18">H69+J69+L69+N69+P69</f>
        <v>79.985285659999988</v>
      </c>
      <c r="D69" s="96">
        <f>C69/$C$67</f>
        <v>6.6375732879359522E-2</v>
      </c>
      <c r="F69" s="97" t="s">
        <v>91</v>
      </c>
      <c r="G69" s="135">
        <v>3</v>
      </c>
      <c r="H69" s="136">
        <v>36.777285659999997</v>
      </c>
      <c r="I69" s="135">
        <v>2</v>
      </c>
      <c r="J69" s="136">
        <v>27.26</v>
      </c>
      <c r="K69" s="135">
        <v>1</v>
      </c>
      <c r="L69" s="136">
        <v>3</v>
      </c>
      <c r="M69" s="135">
        <v>0</v>
      </c>
      <c r="N69" s="136">
        <v>0</v>
      </c>
      <c r="O69" s="135">
        <v>24</v>
      </c>
      <c r="P69" s="136">
        <v>12.947999999999999</v>
      </c>
      <c r="Q69" s="135">
        <v>0</v>
      </c>
      <c r="R69" s="136">
        <v>0</v>
      </c>
    </row>
    <row r="70" spans="1:18">
      <c r="A70" s="93" t="s">
        <v>92</v>
      </c>
      <c r="B70" s="94">
        <f t="shared" si="17"/>
        <v>13</v>
      </c>
      <c r="C70" s="95">
        <f t="shared" si="18"/>
        <v>37.974866839999997</v>
      </c>
      <c r="D70" s="96">
        <f t="shared" ref="D70:D82" si="19">C70/$C$67</f>
        <v>3.151341645781762E-2</v>
      </c>
      <c r="F70" s="97" t="s">
        <v>92</v>
      </c>
      <c r="G70" s="135">
        <v>2</v>
      </c>
      <c r="H70" s="136">
        <v>13.99486684</v>
      </c>
      <c r="I70" s="135">
        <v>3</v>
      </c>
      <c r="J70" s="136">
        <v>19.989999999999998</v>
      </c>
      <c r="K70" s="135">
        <v>0</v>
      </c>
      <c r="L70" s="136">
        <v>0</v>
      </c>
      <c r="M70" s="135">
        <v>0</v>
      </c>
      <c r="N70" s="136">
        <v>0</v>
      </c>
      <c r="O70" s="135">
        <v>8</v>
      </c>
      <c r="P70" s="136">
        <v>3.99</v>
      </c>
      <c r="Q70" s="135">
        <v>0</v>
      </c>
      <c r="R70" s="136">
        <v>0</v>
      </c>
    </row>
    <row r="71" spans="1:18">
      <c r="A71" s="93" t="s">
        <v>93</v>
      </c>
      <c r="B71" s="94">
        <f t="shared" si="17"/>
        <v>36</v>
      </c>
      <c r="C71" s="95">
        <f t="shared" si="18"/>
        <v>357.17455203223346</v>
      </c>
      <c r="D71" s="96">
        <f t="shared" si="19"/>
        <v>0.29640105003528755</v>
      </c>
      <c r="F71" s="97" t="s">
        <v>93</v>
      </c>
      <c r="G71" s="135">
        <v>9</v>
      </c>
      <c r="H71" s="136">
        <v>247.52377034</v>
      </c>
      <c r="I71" s="135">
        <v>7</v>
      </c>
      <c r="J71" s="136">
        <v>87.12</v>
      </c>
      <c r="K71" s="135">
        <v>0</v>
      </c>
      <c r="L71" s="136">
        <v>0</v>
      </c>
      <c r="M71" s="135">
        <v>0</v>
      </c>
      <c r="N71" s="136">
        <v>0</v>
      </c>
      <c r="O71" s="135">
        <v>20</v>
      </c>
      <c r="P71" s="136">
        <v>22.530781692233468</v>
      </c>
      <c r="Q71" s="135">
        <v>0</v>
      </c>
      <c r="R71" s="136">
        <v>0</v>
      </c>
    </row>
    <row r="72" spans="1:18">
      <c r="A72" s="93" t="s">
        <v>94</v>
      </c>
      <c r="B72" s="94">
        <f t="shared" si="17"/>
        <v>35</v>
      </c>
      <c r="C72" s="95">
        <f t="shared" si="18"/>
        <v>147.50728300030303</v>
      </c>
      <c r="D72" s="96">
        <f t="shared" si="19"/>
        <v>0.12240881473884087</v>
      </c>
      <c r="F72" s="97" t="s">
        <v>94</v>
      </c>
      <c r="G72" s="135">
        <v>9</v>
      </c>
      <c r="H72" s="136">
        <v>133.61317246999999</v>
      </c>
      <c r="I72" s="135">
        <v>0</v>
      </c>
      <c r="J72" s="136">
        <v>0</v>
      </c>
      <c r="K72" s="135">
        <v>0</v>
      </c>
      <c r="L72" s="136">
        <v>0</v>
      </c>
      <c r="M72" s="135">
        <v>0</v>
      </c>
      <c r="N72" s="136">
        <v>0</v>
      </c>
      <c r="O72" s="135">
        <v>26</v>
      </c>
      <c r="P72" s="136">
        <v>13.894110530303029</v>
      </c>
      <c r="Q72" s="135">
        <v>4</v>
      </c>
      <c r="R72" s="136">
        <v>1.0835565399999998</v>
      </c>
    </row>
    <row r="73" spans="1:18">
      <c r="A73" s="93" t="s">
        <v>95</v>
      </c>
      <c r="B73" s="94">
        <f t="shared" si="17"/>
        <v>9</v>
      </c>
      <c r="C73" s="95">
        <f t="shared" si="18"/>
        <v>47.391843794021014</v>
      </c>
      <c r="D73" s="96">
        <f t="shared" si="19"/>
        <v>3.9328088139908901E-2</v>
      </c>
      <c r="F73" s="97" t="s">
        <v>95</v>
      </c>
      <c r="G73" s="135">
        <v>2</v>
      </c>
      <c r="H73" s="136">
        <v>19.74089476</v>
      </c>
      <c r="I73" s="135">
        <v>4</v>
      </c>
      <c r="J73" s="136">
        <v>25</v>
      </c>
      <c r="K73" s="135">
        <v>0</v>
      </c>
      <c r="L73" s="136">
        <v>0</v>
      </c>
      <c r="M73" s="135">
        <v>0</v>
      </c>
      <c r="N73" s="136">
        <v>0</v>
      </c>
      <c r="O73" s="135">
        <v>3</v>
      </c>
      <c r="P73" s="136">
        <v>2.6509490340210071</v>
      </c>
      <c r="Q73" s="135">
        <v>0</v>
      </c>
      <c r="R73" s="136">
        <v>0</v>
      </c>
    </row>
    <row r="74" spans="1:18">
      <c r="A74" s="93" t="s">
        <v>96</v>
      </c>
      <c r="B74" s="94">
        <f t="shared" si="17"/>
        <v>15</v>
      </c>
      <c r="C74" s="95">
        <f t="shared" si="18"/>
        <v>34.514284149999995</v>
      </c>
      <c r="D74" s="96">
        <f t="shared" si="19"/>
        <v>2.8641654353787953E-2</v>
      </c>
      <c r="F74" s="97" t="s">
        <v>96</v>
      </c>
      <c r="G74" s="135">
        <v>2</v>
      </c>
      <c r="H74" s="136">
        <v>9.4498185599999989</v>
      </c>
      <c r="I74" s="135">
        <v>3</v>
      </c>
      <c r="J74" s="136">
        <v>18.329999999999998</v>
      </c>
      <c r="K74" s="135">
        <v>0</v>
      </c>
      <c r="L74" s="136">
        <v>0</v>
      </c>
      <c r="M74" s="135">
        <v>0</v>
      </c>
      <c r="N74" s="136">
        <v>0</v>
      </c>
      <c r="O74" s="135">
        <v>10</v>
      </c>
      <c r="P74" s="136">
        <v>6.7344655899999983</v>
      </c>
      <c r="Q74" s="135">
        <v>2</v>
      </c>
      <c r="R74" s="136">
        <v>1.0835565399999998</v>
      </c>
    </row>
    <row r="75" spans="1:18">
      <c r="A75" s="93" t="s">
        <v>97</v>
      </c>
      <c r="B75" s="94">
        <f t="shared" si="17"/>
        <v>1</v>
      </c>
      <c r="C75" s="95">
        <f t="shared" si="18"/>
        <v>5.1364689055659793</v>
      </c>
      <c r="D75" s="96">
        <f t="shared" si="19"/>
        <v>4.2624950977637553E-3</v>
      </c>
      <c r="F75" s="97" t="s">
        <v>97</v>
      </c>
      <c r="G75" s="135">
        <v>0</v>
      </c>
      <c r="H75" s="136">
        <v>0</v>
      </c>
      <c r="I75" s="135">
        <v>1</v>
      </c>
      <c r="J75" s="136">
        <v>4.7</v>
      </c>
      <c r="K75" s="135">
        <v>0</v>
      </c>
      <c r="L75" s="136">
        <v>0</v>
      </c>
      <c r="M75" s="135">
        <v>0</v>
      </c>
      <c r="N75" s="136">
        <v>0</v>
      </c>
      <c r="O75" s="135">
        <v>0</v>
      </c>
      <c r="P75" s="136">
        <v>0.43646890556597878</v>
      </c>
      <c r="Q75" s="135">
        <v>0</v>
      </c>
      <c r="R75" s="136">
        <v>0</v>
      </c>
    </row>
    <row r="76" spans="1:18">
      <c r="A76" s="93" t="s">
        <v>98</v>
      </c>
      <c r="B76" s="94">
        <f t="shared" si="17"/>
        <v>6</v>
      </c>
      <c r="C76" s="95">
        <f t="shared" si="18"/>
        <v>15.520140699999999</v>
      </c>
      <c r="D76" s="96">
        <f t="shared" si="19"/>
        <v>1.2879377811217233E-2</v>
      </c>
      <c r="F76" s="97" t="s">
        <v>98</v>
      </c>
      <c r="G76" s="135">
        <v>2</v>
      </c>
      <c r="H76" s="136">
        <v>12.3686767</v>
      </c>
      <c r="I76" s="135">
        <v>1</v>
      </c>
      <c r="J76" s="136">
        <v>1.95</v>
      </c>
      <c r="K76" s="135">
        <v>0</v>
      </c>
      <c r="L76" s="136">
        <v>0</v>
      </c>
      <c r="M76" s="135">
        <v>0</v>
      </c>
      <c r="N76" s="136">
        <v>0</v>
      </c>
      <c r="O76" s="135">
        <v>3</v>
      </c>
      <c r="P76" s="136">
        <v>1.2014640000000001</v>
      </c>
      <c r="Q76" s="135">
        <v>0</v>
      </c>
      <c r="R76" s="136">
        <v>0</v>
      </c>
    </row>
    <row r="77" spans="1:18">
      <c r="A77" s="93" t="s">
        <v>99</v>
      </c>
      <c r="B77" s="94">
        <f t="shared" si="17"/>
        <v>35</v>
      </c>
      <c r="C77" s="95">
        <f t="shared" si="18"/>
        <v>145.09778803350176</v>
      </c>
      <c r="D77" s="96">
        <f t="shared" si="19"/>
        <v>0.1204092970404182</v>
      </c>
      <c r="F77" s="97" t="s">
        <v>99</v>
      </c>
      <c r="G77" s="135">
        <v>4</v>
      </c>
      <c r="H77" s="136">
        <v>91.48444803000001</v>
      </c>
      <c r="I77" s="135">
        <v>2</v>
      </c>
      <c r="J77" s="136">
        <v>36.909999999999997</v>
      </c>
      <c r="K77" s="135">
        <v>0</v>
      </c>
      <c r="L77" s="136">
        <v>0</v>
      </c>
      <c r="M77" s="135">
        <v>0</v>
      </c>
      <c r="N77" s="136">
        <v>0</v>
      </c>
      <c r="O77" s="135">
        <v>29</v>
      </c>
      <c r="P77" s="136">
        <v>16.703340003501751</v>
      </c>
      <c r="Q77" s="135">
        <v>0</v>
      </c>
      <c r="R77" s="136">
        <v>0</v>
      </c>
    </row>
    <row r="78" spans="1:18">
      <c r="A78" s="93" t="s">
        <v>100</v>
      </c>
      <c r="B78" s="94">
        <f t="shared" si="17"/>
        <v>32</v>
      </c>
      <c r="C78" s="95">
        <f t="shared" si="18"/>
        <v>183.11189722</v>
      </c>
      <c r="D78" s="96">
        <f t="shared" si="19"/>
        <v>0.15195527873179387</v>
      </c>
      <c r="F78" s="97" t="s">
        <v>100</v>
      </c>
      <c r="G78" s="135">
        <v>6</v>
      </c>
      <c r="H78" s="136">
        <v>91.578585959999998</v>
      </c>
      <c r="I78" s="135">
        <v>7</v>
      </c>
      <c r="J78" s="136">
        <v>78.400000000000006</v>
      </c>
      <c r="K78" s="135">
        <v>0</v>
      </c>
      <c r="L78" s="136">
        <v>0</v>
      </c>
      <c r="M78" s="135">
        <v>0</v>
      </c>
      <c r="N78" s="136">
        <v>0</v>
      </c>
      <c r="O78" s="135">
        <v>19</v>
      </c>
      <c r="P78" s="136">
        <v>13.133311259999997</v>
      </c>
      <c r="Q78" s="135">
        <v>0</v>
      </c>
      <c r="R78" s="136">
        <v>0</v>
      </c>
    </row>
    <row r="79" spans="1:18">
      <c r="A79" s="93" t="s">
        <v>101</v>
      </c>
      <c r="B79" s="94">
        <f t="shared" si="17"/>
        <v>22</v>
      </c>
      <c r="C79" s="95">
        <f t="shared" si="18"/>
        <v>149.4565558682051</v>
      </c>
      <c r="D79" s="96">
        <f t="shared" si="19"/>
        <v>0.12402641745315554</v>
      </c>
      <c r="F79" s="97" t="s">
        <v>101</v>
      </c>
      <c r="G79" s="135">
        <v>8</v>
      </c>
      <c r="H79" s="136">
        <v>119.63552874</v>
      </c>
      <c r="I79" s="135">
        <v>4</v>
      </c>
      <c r="J79" s="136">
        <v>24</v>
      </c>
      <c r="K79" s="135">
        <v>0</v>
      </c>
      <c r="L79" s="136">
        <v>0</v>
      </c>
      <c r="M79" s="135">
        <v>0</v>
      </c>
      <c r="N79" s="136">
        <v>0</v>
      </c>
      <c r="O79" s="135">
        <v>10</v>
      </c>
      <c r="P79" s="136">
        <v>5.8210271282051282</v>
      </c>
      <c r="Q79" s="135">
        <v>0</v>
      </c>
      <c r="R79" s="136">
        <v>0</v>
      </c>
    </row>
    <row r="80" spans="1:18" ht="17.25">
      <c r="A80" s="104" t="s">
        <v>102</v>
      </c>
      <c r="B80" s="89">
        <f>SUM(B81:B82)</f>
        <v>6</v>
      </c>
      <c r="C80" s="90">
        <f>SUM(C81:C82)</f>
        <v>2.1671130799999996</v>
      </c>
      <c r="D80" s="91">
        <f>SUM(D81:D82)</f>
        <v>1.798377260648844E-3</v>
      </c>
      <c r="E80" s="123"/>
      <c r="F80" s="97"/>
      <c r="G80" s="135"/>
      <c r="H80" s="136"/>
      <c r="I80" s="135"/>
      <c r="J80" s="136"/>
      <c r="K80" s="135"/>
      <c r="L80" s="136"/>
      <c r="M80" s="135"/>
      <c r="N80" s="136"/>
      <c r="O80" s="135"/>
      <c r="P80" s="136"/>
      <c r="Q80" s="135"/>
      <c r="R80" s="136"/>
    </row>
    <row r="81" spans="1:18">
      <c r="A81" s="93" t="s">
        <v>94</v>
      </c>
      <c r="B81" s="94">
        <f>Q72</f>
        <v>4</v>
      </c>
      <c r="C81" s="95">
        <f>R72</f>
        <v>1.0835565399999998</v>
      </c>
      <c r="D81" s="96">
        <f t="shared" si="19"/>
        <v>8.9918863032442198E-4</v>
      </c>
      <c r="F81" s="97"/>
      <c r="G81" s="135"/>
      <c r="H81" s="136"/>
      <c r="I81" s="135"/>
      <c r="J81" s="136"/>
      <c r="K81" s="135"/>
      <c r="L81" s="136"/>
      <c r="M81" s="135"/>
      <c r="N81" s="136"/>
      <c r="O81" s="135"/>
      <c r="P81" s="136"/>
      <c r="Q81" s="135"/>
      <c r="R81" s="136"/>
    </row>
    <row r="82" spans="1:18">
      <c r="A82" s="93" t="s">
        <v>96</v>
      </c>
      <c r="B82" s="94">
        <f>Q74</f>
        <v>2</v>
      </c>
      <c r="C82" s="95">
        <f>R74</f>
        <v>1.0835565399999998</v>
      </c>
      <c r="D82" s="96">
        <f t="shared" si="19"/>
        <v>8.9918863032442198E-4</v>
      </c>
      <c r="F82" s="97"/>
      <c r="G82" s="135"/>
      <c r="H82" s="136"/>
      <c r="I82" s="135"/>
      <c r="J82" s="136"/>
      <c r="K82" s="135"/>
      <c r="L82" s="136"/>
      <c r="M82" s="135"/>
      <c r="N82" s="136"/>
      <c r="O82" s="135"/>
      <c r="P82" s="136"/>
      <c r="Q82" s="135"/>
      <c r="R82" s="136"/>
    </row>
    <row r="83" spans="1:18">
      <c r="A83" s="84" t="s">
        <v>105</v>
      </c>
      <c r="B83" s="85">
        <f>SUM(B84:B85)</f>
        <v>1</v>
      </c>
      <c r="C83" s="86">
        <f>SUM(C84:C85)</f>
        <v>1.05</v>
      </c>
      <c r="D83" s="87">
        <f>SUM(D84:D85)</f>
        <v>1</v>
      </c>
      <c r="F83" s="84" t="s">
        <v>105</v>
      </c>
      <c r="G83" s="85">
        <f>SUM(G84:G85)</f>
        <v>0</v>
      </c>
      <c r="H83" s="86">
        <f t="shared" ref="H83:R83" si="20">SUM(H84:H85)</f>
        <v>0</v>
      </c>
      <c r="I83" s="85">
        <f t="shared" si="20"/>
        <v>0</v>
      </c>
      <c r="J83" s="86">
        <f t="shared" si="20"/>
        <v>0</v>
      </c>
      <c r="K83" s="85">
        <f t="shared" si="20"/>
        <v>0</v>
      </c>
      <c r="L83" s="86">
        <f t="shared" si="20"/>
        <v>0</v>
      </c>
      <c r="M83" s="85">
        <f t="shared" si="20"/>
        <v>0</v>
      </c>
      <c r="N83" s="86">
        <f t="shared" si="20"/>
        <v>0</v>
      </c>
      <c r="O83" s="85">
        <f t="shared" si="20"/>
        <v>1</v>
      </c>
      <c r="P83" s="86">
        <f t="shared" si="20"/>
        <v>1.05</v>
      </c>
      <c r="Q83" s="85">
        <f t="shared" si="20"/>
        <v>0</v>
      </c>
      <c r="R83" s="86">
        <f t="shared" si="20"/>
        <v>0</v>
      </c>
    </row>
    <row r="84" spans="1:18">
      <c r="A84" s="99" t="s">
        <v>94</v>
      </c>
      <c r="B84" s="94">
        <f>G84+I84+K84+M84+O84</f>
        <v>1</v>
      </c>
      <c r="C84" s="95">
        <f>H84+J84+L84+N84+P84</f>
        <v>0.95000000000000007</v>
      </c>
      <c r="D84" s="96">
        <f>C84/$C$83</f>
        <v>0.90476190476190477</v>
      </c>
      <c r="F84" s="97" t="s">
        <v>94</v>
      </c>
      <c r="G84" s="135">
        <v>0</v>
      </c>
      <c r="H84" s="136">
        <v>0</v>
      </c>
      <c r="I84" s="135">
        <v>0</v>
      </c>
      <c r="J84" s="136">
        <v>0</v>
      </c>
      <c r="K84" s="135">
        <v>0</v>
      </c>
      <c r="L84" s="136">
        <v>0</v>
      </c>
      <c r="M84" s="135">
        <v>0</v>
      </c>
      <c r="N84" s="136">
        <v>0</v>
      </c>
      <c r="O84" s="135">
        <v>1</v>
      </c>
      <c r="P84" s="136">
        <v>0.95000000000000007</v>
      </c>
      <c r="Q84" s="135">
        <v>0</v>
      </c>
      <c r="R84" s="136">
        <v>0</v>
      </c>
    </row>
    <row r="85" spans="1:18">
      <c r="A85" s="99" t="s">
        <v>96</v>
      </c>
      <c r="B85" s="94">
        <f>G85+I85+K85+M85+O85</f>
        <v>0</v>
      </c>
      <c r="C85" s="95">
        <f>H85+J85+L85+N85+P85</f>
        <v>0.1</v>
      </c>
      <c r="D85" s="96">
        <f>C85/$C$83</f>
        <v>9.5238095238095233E-2</v>
      </c>
      <c r="F85" s="97" t="s">
        <v>96</v>
      </c>
      <c r="G85" s="135">
        <v>0</v>
      </c>
      <c r="H85" s="136">
        <v>0</v>
      </c>
      <c r="I85" s="135">
        <v>0</v>
      </c>
      <c r="J85" s="136">
        <v>0</v>
      </c>
      <c r="K85" s="135">
        <v>0</v>
      </c>
      <c r="L85" s="136">
        <v>0</v>
      </c>
      <c r="M85" s="135">
        <v>0</v>
      </c>
      <c r="N85" s="136">
        <v>0</v>
      </c>
      <c r="O85" s="135">
        <v>0</v>
      </c>
      <c r="P85" s="136">
        <v>0.1</v>
      </c>
      <c r="Q85" s="135">
        <v>0</v>
      </c>
      <c r="R85" s="136">
        <v>0</v>
      </c>
    </row>
    <row r="86" spans="1:18">
      <c r="A86" s="84" t="s">
        <v>15</v>
      </c>
      <c r="B86" s="85">
        <f>B87+B99</f>
        <v>487</v>
      </c>
      <c r="C86" s="86">
        <f>C87+C99</f>
        <v>5157.823147265537</v>
      </c>
      <c r="D86" s="87">
        <f>D87+D99</f>
        <v>1</v>
      </c>
      <c r="F86" s="84" t="s">
        <v>15</v>
      </c>
      <c r="G86" s="85">
        <f>SUM(G88:G98)</f>
        <v>129</v>
      </c>
      <c r="H86" s="86">
        <f t="shared" ref="H86:R86" si="21">SUM(H88:H98)</f>
        <v>4278.0763426499998</v>
      </c>
      <c r="I86" s="85">
        <f t="shared" si="21"/>
        <v>85</v>
      </c>
      <c r="J86" s="86">
        <f t="shared" si="21"/>
        <v>617.66299999999978</v>
      </c>
      <c r="K86" s="85">
        <f t="shared" si="21"/>
        <v>0</v>
      </c>
      <c r="L86" s="86">
        <f t="shared" si="21"/>
        <v>0</v>
      </c>
      <c r="M86" s="85">
        <f t="shared" si="21"/>
        <v>1</v>
      </c>
      <c r="N86" s="86">
        <f t="shared" si="21"/>
        <v>5.25</v>
      </c>
      <c r="O86" s="85">
        <f t="shared" si="21"/>
        <v>215</v>
      </c>
      <c r="P86" s="86">
        <f t="shared" si="21"/>
        <v>216.28012117553629</v>
      </c>
      <c r="Q86" s="85">
        <f t="shared" si="21"/>
        <v>57</v>
      </c>
      <c r="R86" s="86">
        <f t="shared" si="21"/>
        <v>40.553683439999993</v>
      </c>
    </row>
    <row r="87" spans="1:18">
      <c r="A87" s="88" t="s">
        <v>90</v>
      </c>
      <c r="B87" s="89">
        <f>SUM(B88:B98)</f>
        <v>430</v>
      </c>
      <c r="C87" s="90">
        <f>SUM(C88:C98)</f>
        <v>5117.2694638255371</v>
      </c>
      <c r="D87" s="91">
        <f>SUM(D88:D98)</f>
        <v>0.99213744204054377</v>
      </c>
      <c r="F87" s="92"/>
      <c r="G87" s="89"/>
      <c r="H87" s="90"/>
      <c r="I87" s="89"/>
      <c r="J87" s="90"/>
      <c r="K87" s="89"/>
      <c r="L87" s="90"/>
      <c r="M87" s="89"/>
      <c r="N87" s="90"/>
      <c r="O87" s="89"/>
      <c r="P87" s="90"/>
      <c r="Q87" s="89"/>
      <c r="R87" s="90"/>
    </row>
    <row r="88" spans="1:18">
      <c r="A88" s="93" t="s">
        <v>91</v>
      </c>
      <c r="B88" s="94">
        <f t="shared" ref="B88:B98" si="22">G88+I88+K88+M88+O88</f>
        <v>95</v>
      </c>
      <c r="C88" s="95">
        <f t="shared" ref="C88:C98" si="23">H88+J88+L88+N88+P88</f>
        <v>1235.6380350100001</v>
      </c>
      <c r="D88" s="96">
        <f>C88/$C$86</f>
        <v>0.23956580125572624</v>
      </c>
      <c r="F88" s="97" t="s">
        <v>91</v>
      </c>
      <c r="G88" s="135">
        <v>25</v>
      </c>
      <c r="H88" s="136">
        <v>904.41726800999993</v>
      </c>
      <c r="I88" s="135">
        <v>27</v>
      </c>
      <c r="J88" s="136">
        <v>264.44599999999997</v>
      </c>
      <c r="K88" s="135">
        <v>0</v>
      </c>
      <c r="L88" s="136">
        <v>0</v>
      </c>
      <c r="M88" s="135">
        <v>1</v>
      </c>
      <c r="N88" s="136">
        <v>5.25</v>
      </c>
      <c r="O88" s="135">
        <v>42</v>
      </c>
      <c r="P88" s="136">
        <v>61.524767000000011</v>
      </c>
      <c r="Q88" s="135">
        <v>0</v>
      </c>
      <c r="R88" s="136">
        <v>0</v>
      </c>
    </row>
    <row r="89" spans="1:18">
      <c r="A89" s="93" t="s">
        <v>92</v>
      </c>
      <c r="B89" s="94">
        <f t="shared" si="22"/>
        <v>42</v>
      </c>
      <c r="C89" s="95">
        <f t="shared" si="23"/>
        <v>481.64907055999998</v>
      </c>
      <c r="D89" s="96">
        <f t="shared" ref="D89:D101" si="24">C89/$C$86</f>
        <v>9.3382238360644507E-2</v>
      </c>
      <c r="F89" s="97" t="s">
        <v>92</v>
      </c>
      <c r="G89" s="135">
        <v>16</v>
      </c>
      <c r="H89" s="136">
        <v>405.99907056000001</v>
      </c>
      <c r="I89" s="135">
        <v>5</v>
      </c>
      <c r="J89" s="136">
        <v>58.47</v>
      </c>
      <c r="K89" s="135">
        <v>0</v>
      </c>
      <c r="L89" s="136">
        <v>0</v>
      </c>
      <c r="M89" s="135">
        <v>0</v>
      </c>
      <c r="N89" s="136">
        <v>0</v>
      </c>
      <c r="O89" s="135">
        <v>21</v>
      </c>
      <c r="P89" s="136">
        <v>17.179999999999996</v>
      </c>
      <c r="Q89" s="135">
        <v>0</v>
      </c>
      <c r="R89" s="136">
        <v>0</v>
      </c>
    </row>
    <row r="90" spans="1:18">
      <c r="A90" s="93" t="s">
        <v>93</v>
      </c>
      <c r="B90" s="94">
        <f t="shared" si="22"/>
        <v>32</v>
      </c>
      <c r="C90" s="95">
        <f t="shared" si="23"/>
        <v>382.55185784223346</v>
      </c>
      <c r="D90" s="96">
        <f t="shared" si="24"/>
        <v>7.4169246777111106E-2</v>
      </c>
      <c r="F90" s="97" t="s">
        <v>93</v>
      </c>
      <c r="G90" s="135">
        <v>12</v>
      </c>
      <c r="H90" s="136">
        <v>350.31543114999999</v>
      </c>
      <c r="I90" s="135">
        <v>6</v>
      </c>
      <c r="J90" s="136">
        <v>21.81</v>
      </c>
      <c r="K90" s="135">
        <v>0</v>
      </c>
      <c r="L90" s="136">
        <v>0</v>
      </c>
      <c r="M90" s="135">
        <v>0</v>
      </c>
      <c r="N90" s="136">
        <v>0</v>
      </c>
      <c r="O90" s="135">
        <v>14</v>
      </c>
      <c r="P90" s="136">
        <v>10.426426692233468</v>
      </c>
      <c r="Q90" s="135">
        <v>0</v>
      </c>
      <c r="R90" s="136">
        <v>0</v>
      </c>
    </row>
    <row r="91" spans="1:18">
      <c r="A91" s="93" t="s">
        <v>94</v>
      </c>
      <c r="B91" s="94">
        <f t="shared" si="22"/>
        <v>41</v>
      </c>
      <c r="C91" s="95">
        <f t="shared" si="23"/>
        <v>400.9397435487241</v>
      </c>
      <c r="D91" s="96">
        <f t="shared" si="24"/>
        <v>7.7734294507807167E-2</v>
      </c>
      <c r="F91" s="97" t="s">
        <v>94</v>
      </c>
      <c r="G91" s="135">
        <v>17</v>
      </c>
      <c r="H91" s="136">
        <v>376.98595664999999</v>
      </c>
      <c r="I91" s="135">
        <v>1</v>
      </c>
      <c r="J91" s="136">
        <v>5</v>
      </c>
      <c r="K91" s="135">
        <v>0</v>
      </c>
      <c r="L91" s="136">
        <v>0</v>
      </c>
      <c r="M91" s="135">
        <v>0</v>
      </c>
      <c r="N91" s="136">
        <v>0</v>
      </c>
      <c r="O91" s="135">
        <v>23</v>
      </c>
      <c r="P91" s="136">
        <v>18.953786898724093</v>
      </c>
      <c r="Q91" s="135">
        <v>31</v>
      </c>
      <c r="R91" s="136">
        <v>34.026841719999993</v>
      </c>
    </row>
    <row r="92" spans="1:18">
      <c r="A92" s="93" t="s">
        <v>95</v>
      </c>
      <c r="B92" s="94">
        <f t="shared" si="22"/>
        <v>22</v>
      </c>
      <c r="C92" s="95">
        <f t="shared" si="23"/>
        <v>268.79315279038906</v>
      </c>
      <c r="D92" s="96">
        <f t="shared" si="24"/>
        <v>5.211368151172302E-2</v>
      </c>
      <c r="F92" s="97" t="s">
        <v>95</v>
      </c>
      <c r="G92" s="135">
        <v>6</v>
      </c>
      <c r="H92" s="136">
        <v>208.08477388</v>
      </c>
      <c r="I92" s="135">
        <v>9</v>
      </c>
      <c r="J92" s="136">
        <v>51.156999999999996</v>
      </c>
      <c r="K92" s="135">
        <v>0</v>
      </c>
      <c r="L92" s="136">
        <v>0</v>
      </c>
      <c r="M92" s="135">
        <v>0</v>
      </c>
      <c r="N92" s="136">
        <v>0</v>
      </c>
      <c r="O92" s="135">
        <v>7</v>
      </c>
      <c r="P92" s="136">
        <v>9.5513789103890652</v>
      </c>
      <c r="Q92" s="135">
        <v>0</v>
      </c>
      <c r="R92" s="136">
        <v>0</v>
      </c>
    </row>
    <row r="93" spans="1:18">
      <c r="A93" s="93" t="s">
        <v>96</v>
      </c>
      <c r="B93" s="94">
        <f t="shared" si="22"/>
        <v>15</v>
      </c>
      <c r="C93" s="95">
        <f t="shared" si="23"/>
        <v>126.11406441000001</v>
      </c>
      <c r="D93" s="96">
        <f t="shared" si="24"/>
        <v>2.4451025327780079E-2</v>
      </c>
      <c r="F93" s="97" t="s">
        <v>96</v>
      </c>
      <c r="G93" s="135">
        <v>5</v>
      </c>
      <c r="H93" s="136">
        <v>115.13672262</v>
      </c>
      <c r="I93" s="135">
        <v>2</v>
      </c>
      <c r="J93" s="136">
        <v>4.9000000000000004</v>
      </c>
      <c r="K93" s="135">
        <v>0</v>
      </c>
      <c r="L93" s="136">
        <v>0</v>
      </c>
      <c r="M93" s="135">
        <v>0</v>
      </c>
      <c r="N93" s="136">
        <v>0</v>
      </c>
      <c r="O93" s="135">
        <v>8</v>
      </c>
      <c r="P93" s="136">
        <v>6.0773417899999993</v>
      </c>
      <c r="Q93" s="135">
        <v>26</v>
      </c>
      <c r="R93" s="136">
        <v>6.5268417199999993</v>
      </c>
    </row>
    <row r="94" spans="1:18">
      <c r="A94" s="93" t="s">
        <v>97</v>
      </c>
      <c r="B94" s="94">
        <f t="shared" si="22"/>
        <v>0</v>
      </c>
      <c r="C94" s="95">
        <f t="shared" si="23"/>
        <v>0.85736890556597878</v>
      </c>
      <c r="D94" s="96">
        <f t="shared" si="24"/>
        <v>1.6622689089689321E-4</v>
      </c>
      <c r="F94" s="97" t="s">
        <v>97</v>
      </c>
      <c r="G94" s="135">
        <v>0</v>
      </c>
      <c r="H94" s="136">
        <v>0</v>
      </c>
      <c r="I94" s="135">
        <v>0</v>
      </c>
      <c r="J94" s="136">
        <v>0</v>
      </c>
      <c r="K94" s="135">
        <v>0</v>
      </c>
      <c r="L94" s="136">
        <v>0</v>
      </c>
      <c r="M94" s="135">
        <v>0</v>
      </c>
      <c r="N94" s="136">
        <v>0</v>
      </c>
      <c r="O94" s="135">
        <v>0</v>
      </c>
      <c r="P94" s="136">
        <v>0.85736890556597878</v>
      </c>
      <c r="Q94" s="135">
        <v>0</v>
      </c>
      <c r="R94" s="136">
        <v>0</v>
      </c>
    </row>
    <row r="95" spans="1:18">
      <c r="A95" s="93" t="s">
        <v>98</v>
      </c>
      <c r="B95" s="94">
        <f t="shared" si="22"/>
        <v>9</v>
      </c>
      <c r="C95" s="95">
        <f t="shared" si="23"/>
        <v>158.1646768</v>
      </c>
      <c r="D95" s="96">
        <f t="shared" si="24"/>
        <v>3.0665005814294412E-2</v>
      </c>
      <c r="F95" s="97" t="s">
        <v>98</v>
      </c>
      <c r="G95" s="135">
        <v>3</v>
      </c>
      <c r="H95" s="136">
        <v>144.6582128</v>
      </c>
      <c r="I95" s="135">
        <v>1</v>
      </c>
      <c r="J95" s="136">
        <v>3</v>
      </c>
      <c r="K95" s="135">
        <v>0</v>
      </c>
      <c r="L95" s="136">
        <v>0</v>
      </c>
      <c r="M95" s="135">
        <v>0</v>
      </c>
      <c r="N95" s="136">
        <v>0</v>
      </c>
      <c r="O95" s="135">
        <v>5</v>
      </c>
      <c r="P95" s="136">
        <v>10.506463999999999</v>
      </c>
      <c r="Q95" s="135">
        <v>0</v>
      </c>
      <c r="R95" s="136">
        <v>0</v>
      </c>
    </row>
    <row r="96" spans="1:18">
      <c r="A96" s="93" t="s">
        <v>99</v>
      </c>
      <c r="B96" s="94">
        <f t="shared" si="22"/>
        <v>76</v>
      </c>
      <c r="C96" s="95">
        <f t="shared" si="23"/>
        <v>556.03332676041862</v>
      </c>
      <c r="D96" s="96">
        <f t="shared" si="24"/>
        <v>0.10780387595398735</v>
      </c>
      <c r="F96" s="97" t="s">
        <v>99</v>
      </c>
      <c r="G96" s="135">
        <v>14</v>
      </c>
      <c r="H96" s="136">
        <v>458.84919817000002</v>
      </c>
      <c r="I96" s="135">
        <v>11</v>
      </c>
      <c r="J96" s="136">
        <v>58.08</v>
      </c>
      <c r="K96" s="135">
        <v>0</v>
      </c>
      <c r="L96" s="136">
        <v>0</v>
      </c>
      <c r="M96" s="135">
        <v>0</v>
      </c>
      <c r="N96" s="136">
        <v>0</v>
      </c>
      <c r="O96" s="135">
        <v>51</v>
      </c>
      <c r="P96" s="136">
        <v>39.104128590418547</v>
      </c>
      <c r="Q96" s="135">
        <v>0</v>
      </c>
      <c r="R96" s="136">
        <v>0</v>
      </c>
    </row>
    <row r="97" spans="1:18">
      <c r="A97" s="93" t="s">
        <v>100</v>
      </c>
      <c r="B97" s="94">
        <f t="shared" si="22"/>
        <v>56</v>
      </c>
      <c r="C97" s="95">
        <f t="shared" si="23"/>
        <v>774.88583962999996</v>
      </c>
      <c r="D97" s="96">
        <f t="shared" si="24"/>
        <v>0.15023505411208452</v>
      </c>
      <c r="F97" s="97" t="s">
        <v>100</v>
      </c>
      <c r="G97" s="135">
        <v>17</v>
      </c>
      <c r="H97" s="136">
        <v>672.29558636999991</v>
      </c>
      <c r="I97" s="135">
        <v>10</v>
      </c>
      <c r="J97" s="136">
        <v>79.739999999999995</v>
      </c>
      <c r="K97" s="135">
        <v>0</v>
      </c>
      <c r="L97" s="136">
        <v>0</v>
      </c>
      <c r="M97" s="135">
        <v>0</v>
      </c>
      <c r="N97" s="136">
        <v>0</v>
      </c>
      <c r="O97" s="135">
        <v>29</v>
      </c>
      <c r="P97" s="136">
        <v>22.850253260000002</v>
      </c>
      <c r="Q97" s="135">
        <v>0</v>
      </c>
      <c r="R97" s="136">
        <v>0</v>
      </c>
    </row>
    <row r="98" spans="1:18">
      <c r="A98" s="93" t="s">
        <v>101</v>
      </c>
      <c r="B98" s="94">
        <f t="shared" si="22"/>
        <v>42</v>
      </c>
      <c r="C98" s="95">
        <f t="shared" si="23"/>
        <v>731.64232756820513</v>
      </c>
      <c r="D98" s="96">
        <f t="shared" si="24"/>
        <v>0.1418509915284884</v>
      </c>
      <c r="F98" s="97" t="s">
        <v>101</v>
      </c>
      <c r="G98" s="135">
        <v>14</v>
      </c>
      <c r="H98" s="136">
        <v>641.33412243999999</v>
      </c>
      <c r="I98" s="135">
        <v>13</v>
      </c>
      <c r="J98" s="136">
        <v>71.06</v>
      </c>
      <c r="K98" s="135">
        <v>0</v>
      </c>
      <c r="L98" s="136">
        <v>0</v>
      </c>
      <c r="M98" s="135">
        <v>0</v>
      </c>
      <c r="N98" s="136">
        <v>0</v>
      </c>
      <c r="O98" s="135">
        <v>15</v>
      </c>
      <c r="P98" s="136">
        <v>19.248205128205129</v>
      </c>
      <c r="Q98" s="135">
        <v>0</v>
      </c>
      <c r="R98" s="136">
        <v>0</v>
      </c>
    </row>
    <row r="99" spans="1:18" ht="17.25">
      <c r="A99" s="104" t="s">
        <v>104</v>
      </c>
      <c r="B99" s="89">
        <f>SUM(B100:B101)</f>
        <v>57</v>
      </c>
      <c r="C99" s="90">
        <f>SUM(C100:C101)</f>
        <v>40.553683439999993</v>
      </c>
      <c r="D99" s="91">
        <f>SUM(D100:D101)</f>
        <v>7.8625579594561838E-3</v>
      </c>
      <c r="E99" s="123"/>
      <c r="F99" s="97"/>
      <c r="G99" s="135"/>
      <c r="H99" s="136"/>
      <c r="I99" s="135"/>
      <c r="J99" s="136"/>
      <c r="K99" s="135"/>
      <c r="L99" s="136"/>
      <c r="M99" s="135"/>
      <c r="N99" s="136"/>
      <c r="O99" s="135"/>
      <c r="P99" s="136"/>
      <c r="Q99" s="135"/>
      <c r="R99" s="136"/>
    </row>
    <row r="100" spans="1:18">
      <c r="A100" s="93" t="s">
        <v>94</v>
      </c>
      <c r="B100" s="94">
        <f>Q91</f>
        <v>31</v>
      </c>
      <c r="C100" s="95">
        <f>R91</f>
        <v>34.026841719999993</v>
      </c>
      <c r="D100" s="96">
        <f t="shared" si="24"/>
        <v>6.5971323072679623E-3</v>
      </c>
      <c r="F100" s="97"/>
      <c r="G100" s="135"/>
      <c r="H100" s="136"/>
      <c r="I100" s="135"/>
      <c r="J100" s="136"/>
      <c r="K100" s="135"/>
      <c r="L100" s="136"/>
      <c r="M100" s="135"/>
      <c r="N100" s="136"/>
      <c r="O100" s="135"/>
      <c r="P100" s="136"/>
      <c r="Q100" s="135"/>
      <c r="R100" s="136"/>
    </row>
    <row r="101" spans="1:18">
      <c r="A101" s="93" t="s">
        <v>96</v>
      </c>
      <c r="B101" s="94">
        <f>Q93</f>
        <v>26</v>
      </c>
      <c r="C101" s="95">
        <f>R93</f>
        <v>6.5268417199999993</v>
      </c>
      <c r="D101" s="96">
        <f t="shared" si="24"/>
        <v>1.2654256521882218E-3</v>
      </c>
      <c r="F101" s="97"/>
      <c r="G101" s="135"/>
      <c r="H101" s="136"/>
      <c r="I101" s="135"/>
      <c r="J101" s="136"/>
      <c r="K101" s="135"/>
      <c r="L101" s="136"/>
      <c r="M101" s="135"/>
      <c r="N101" s="136"/>
      <c r="O101" s="135"/>
      <c r="P101" s="136"/>
      <c r="Q101" s="135"/>
      <c r="R101" s="136"/>
    </row>
    <row r="102" spans="1:18">
      <c r="A102" s="84" t="s">
        <v>18</v>
      </c>
      <c r="B102" s="85">
        <f>B103+B115</f>
        <v>5492</v>
      </c>
      <c r="C102" s="86">
        <f>C103+C115</f>
        <v>48186.462813377788</v>
      </c>
      <c r="D102" s="87">
        <f>D103+D115</f>
        <v>1.0000420548779574</v>
      </c>
      <c r="F102" s="84" t="s">
        <v>18</v>
      </c>
      <c r="G102" s="85">
        <f>SUM(G104:G114)</f>
        <v>353</v>
      </c>
      <c r="H102" s="86">
        <f t="shared" ref="H102:R102" si="25">SUM(H104:H114)</f>
        <v>46818.950337429902</v>
      </c>
      <c r="I102" s="85">
        <f t="shared" si="25"/>
        <v>26</v>
      </c>
      <c r="J102" s="86">
        <f t="shared" si="25"/>
        <v>79.381236999999999</v>
      </c>
      <c r="K102" s="85">
        <f t="shared" si="25"/>
        <v>9</v>
      </c>
      <c r="L102" s="86">
        <f t="shared" si="25"/>
        <v>172.43221687000002</v>
      </c>
      <c r="M102" s="85">
        <f t="shared" si="25"/>
        <v>2</v>
      </c>
      <c r="N102" s="86">
        <f t="shared" si="25"/>
        <v>0.37580219999999998</v>
      </c>
      <c r="O102" s="85">
        <f t="shared" si="25"/>
        <v>961</v>
      </c>
      <c r="P102" s="86">
        <f t="shared" si="25"/>
        <v>588.50034008288219</v>
      </c>
      <c r="Q102" s="85">
        <f t="shared" si="25"/>
        <v>4141</v>
      </c>
      <c r="R102" s="86">
        <f t="shared" si="25"/>
        <v>526.82287979499995</v>
      </c>
    </row>
    <row r="103" spans="1:18">
      <c r="A103" s="88" t="s">
        <v>90</v>
      </c>
      <c r="B103" s="89">
        <f>SUM(B104:B114)</f>
        <v>1351</v>
      </c>
      <c r="C103" s="90">
        <f>SUM(C104:C114)</f>
        <v>47659.639933582788</v>
      </c>
      <c r="D103" s="91">
        <f>SUM(D104:D114)</f>
        <v>0.9890669941507152</v>
      </c>
      <c r="F103" s="92"/>
      <c r="G103" s="89"/>
      <c r="H103" s="90"/>
      <c r="I103" s="89"/>
      <c r="J103" s="90"/>
      <c r="K103" s="89"/>
      <c r="L103" s="90"/>
      <c r="M103" s="89"/>
      <c r="N103" s="90"/>
      <c r="O103" s="89"/>
      <c r="P103" s="90"/>
      <c r="Q103" s="89"/>
      <c r="R103" s="90"/>
    </row>
    <row r="104" spans="1:18">
      <c r="A104" s="93" t="s">
        <v>91</v>
      </c>
      <c r="B104" s="94">
        <f t="shared" ref="B104:B114" si="26">G104+I104+K104+M104+O104</f>
        <v>291</v>
      </c>
      <c r="C104" s="95">
        <f t="shared" ref="C104:C114" si="27">H104+J104+L104+N104+P104</f>
        <v>8181.3652889128634</v>
      </c>
      <c r="D104" s="96">
        <f>C104/$C$102</f>
        <v>0.16978555410050783</v>
      </c>
      <c r="F104" s="97" t="s">
        <v>91</v>
      </c>
      <c r="G104" s="135">
        <v>71</v>
      </c>
      <c r="H104" s="136">
        <v>7966.7025409128637</v>
      </c>
      <c r="I104" s="135">
        <v>15</v>
      </c>
      <c r="J104" s="136">
        <v>47.96</v>
      </c>
      <c r="K104" s="135">
        <v>1</v>
      </c>
      <c r="L104" s="136">
        <v>30</v>
      </c>
      <c r="M104" s="135">
        <v>0</v>
      </c>
      <c r="N104" s="136">
        <v>0</v>
      </c>
      <c r="O104" s="135">
        <v>204</v>
      </c>
      <c r="P104" s="136">
        <v>136.70274799999993</v>
      </c>
      <c r="Q104" s="135">
        <v>0</v>
      </c>
      <c r="R104" s="136">
        <v>0</v>
      </c>
    </row>
    <row r="105" spans="1:18">
      <c r="A105" s="93" t="s">
        <v>92</v>
      </c>
      <c r="B105" s="94">
        <f t="shared" si="26"/>
        <v>39</v>
      </c>
      <c r="C105" s="95">
        <f t="shared" si="27"/>
        <v>1026.5625703199998</v>
      </c>
      <c r="D105" s="96">
        <f t="shared" ref="D105:D114" si="28">C105/$C$102</f>
        <v>2.1303961950803328E-2</v>
      </c>
      <c r="F105" s="97" t="s">
        <v>92</v>
      </c>
      <c r="G105" s="135">
        <v>8</v>
      </c>
      <c r="H105" s="136">
        <v>1008.4640703199999</v>
      </c>
      <c r="I105" s="135">
        <v>0</v>
      </c>
      <c r="J105" s="136">
        <v>0</v>
      </c>
      <c r="K105" s="135">
        <v>0</v>
      </c>
      <c r="L105" s="136">
        <v>0</v>
      </c>
      <c r="M105" s="135">
        <v>0</v>
      </c>
      <c r="N105" s="136">
        <v>0</v>
      </c>
      <c r="O105" s="135">
        <v>31</v>
      </c>
      <c r="P105" s="136">
        <v>18.098499999999998</v>
      </c>
      <c r="Q105" s="135">
        <v>0</v>
      </c>
      <c r="R105" s="136">
        <v>0</v>
      </c>
    </row>
    <row r="106" spans="1:18">
      <c r="A106" s="93" t="s">
        <v>93</v>
      </c>
      <c r="B106" s="94">
        <f t="shared" si="26"/>
        <v>212</v>
      </c>
      <c r="C106" s="95">
        <f t="shared" si="27"/>
        <v>7838.762765999506</v>
      </c>
      <c r="D106" s="96">
        <f t="shared" si="28"/>
        <v>0.16267562108383821</v>
      </c>
      <c r="F106" s="97" t="s">
        <v>93</v>
      </c>
      <c r="G106" s="135">
        <v>63</v>
      </c>
      <c r="H106" s="136">
        <v>7683.3140867999991</v>
      </c>
      <c r="I106" s="135">
        <v>6</v>
      </c>
      <c r="J106" s="136">
        <v>22.853636999999999</v>
      </c>
      <c r="K106" s="135">
        <v>3</v>
      </c>
      <c r="L106" s="136">
        <v>46.871257580000005</v>
      </c>
      <c r="M106" s="135">
        <v>2</v>
      </c>
      <c r="N106" s="136">
        <v>0.37580219999999998</v>
      </c>
      <c r="O106" s="135">
        <v>138</v>
      </c>
      <c r="P106" s="136">
        <v>85.347982419506152</v>
      </c>
      <c r="Q106" s="135">
        <v>0</v>
      </c>
      <c r="R106" s="136">
        <v>0</v>
      </c>
    </row>
    <row r="107" spans="1:18">
      <c r="A107" s="93" t="s">
        <v>94</v>
      </c>
      <c r="B107" s="94">
        <f t="shared" si="26"/>
        <v>117</v>
      </c>
      <c r="C107" s="95">
        <f t="shared" si="27"/>
        <v>2091.635578825013</v>
      </c>
      <c r="D107" s="96">
        <f t="shared" si="28"/>
        <v>4.3407120106029484E-2</v>
      </c>
      <c r="F107" s="97" t="s">
        <v>94</v>
      </c>
      <c r="G107" s="135">
        <v>25</v>
      </c>
      <c r="H107" s="136">
        <v>2010.9362011665919</v>
      </c>
      <c r="I107" s="135">
        <v>0</v>
      </c>
      <c r="J107" s="136">
        <v>0</v>
      </c>
      <c r="K107" s="135">
        <v>2</v>
      </c>
      <c r="L107" s="136">
        <v>32.419810290000001</v>
      </c>
      <c r="M107" s="135">
        <v>0</v>
      </c>
      <c r="N107" s="136">
        <v>0</v>
      </c>
      <c r="O107" s="135">
        <v>90</v>
      </c>
      <c r="P107" s="136">
        <v>48.279567368420999</v>
      </c>
      <c r="Q107" s="135">
        <v>3261</v>
      </c>
      <c r="R107" s="136">
        <v>343.49540622249992</v>
      </c>
    </row>
    <row r="108" spans="1:18">
      <c r="A108" s="93" t="s">
        <v>95</v>
      </c>
      <c r="B108" s="94">
        <f t="shared" si="26"/>
        <v>41</v>
      </c>
      <c r="C108" s="95">
        <f t="shared" si="27"/>
        <v>1036.6770579519775</v>
      </c>
      <c r="D108" s="96">
        <f t="shared" si="28"/>
        <v>2.1513865044772897E-2</v>
      </c>
      <c r="F108" s="97" t="s">
        <v>95</v>
      </c>
      <c r="G108" s="135">
        <v>9</v>
      </c>
      <c r="H108" s="136">
        <v>1010.8150627299999</v>
      </c>
      <c r="I108" s="135">
        <v>0</v>
      </c>
      <c r="J108" s="136">
        <v>0</v>
      </c>
      <c r="K108" s="135">
        <v>0</v>
      </c>
      <c r="L108" s="136">
        <v>0</v>
      </c>
      <c r="M108" s="135">
        <v>0</v>
      </c>
      <c r="N108" s="136">
        <v>0</v>
      </c>
      <c r="O108" s="135">
        <v>32</v>
      </c>
      <c r="P108" s="136">
        <v>25.861995221977679</v>
      </c>
      <c r="Q108" s="135">
        <v>0</v>
      </c>
      <c r="R108" s="136">
        <v>0</v>
      </c>
    </row>
    <row r="109" spans="1:18">
      <c r="A109" s="93" t="s">
        <v>96</v>
      </c>
      <c r="B109" s="94">
        <f t="shared" si="26"/>
        <v>64</v>
      </c>
      <c r="C109" s="95">
        <f t="shared" si="27"/>
        <v>1357.0260037799999</v>
      </c>
      <c r="D109" s="96">
        <f t="shared" si="28"/>
        <v>2.8161975885958888E-2</v>
      </c>
      <c r="F109" s="97" t="s">
        <v>96</v>
      </c>
      <c r="G109" s="135">
        <v>10</v>
      </c>
      <c r="H109" s="136">
        <v>1326.4451287899999</v>
      </c>
      <c r="I109" s="135">
        <v>0</v>
      </c>
      <c r="J109" s="136">
        <v>0</v>
      </c>
      <c r="K109" s="135">
        <v>0</v>
      </c>
      <c r="L109" s="136">
        <v>0</v>
      </c>
      <c r="M109" s="135">
        <v>0</v>
      </c>
      <c r="N109" s="136">
        <v>0</v>
      </c>
      <c r="O109" s="135">
        <v>54</v>
      </c>
      <c r="P109" s="136">
        <v>30.580874989999991</v>
      </c>
      <c r="Q109" s="135">
        <v>880</v>
      </c>
      <c r="R109" s="136">
        <v>183.32747357250005</v>
      </c>
    </row>
    <row r="110" spans="1:18">
      <c r="A110" s="93" t="s">
        <v>97</v>
      </c>
      <c r="B110" s="94">
        <f t="shared" si="26"/>
        <v>0</v>
      </c>
      <c r="C110" s="95">
        <f t="shared" si="27"/>
        <v>0.40187745102052425</v>
      </c>
      <c r="D110" s="96">
        <f t="shared" si="28"/>
        <v>8.3400487928936093E-6</v>
      </c>
      <c r="F110" s="97" t="s">
        <v>97</v>
      </c>
      <c r="G110" s="135">
        <v>0</v>
      </c>
      <c r="H110" s="136">
        <v>0</v>
      </c>
      <c r="I110" s="135">
        <v>0</v>
      </c>
      <c r="J110" s="136">
        <v>0</v>
      </c>
      <c r="K110" s="135">
        <v>0</v>
      </c>
      <c r="L110" s="136">
        <v>0</v>
      </c>
      <c r="M110" s="135">
        <v>0</v>
      </c>
      <c r="N110" s="136">
        <v>0</v>
      </c>
      <c r="O110" s="135">
        <v>0</v>
      </c>
      <c r="P110" s="136">
        <v>0.40187745102052425</v>
      </c>
      <c r="Q110" s="135">
        <v>0</v>
      </c>
      <c r="R110" s="136">
        <v>0</v>
      </c>
    </row>
    <row r="111" spans="1:18">
      <c r="A111" s="93" t="s">
        <v>98</v>
      </c>
      <c r="B111" s="94">
        <f t="shared" si="26"/>
        <v>42</v>
      </c>
      <c r="C111" s="95">
        <f t="shared" si="27"/>
        <v>537.02399300000002</v>
      </c>
      <c r="D111" s="96">
        <f t="shared" si="28"/>
        <v>1.1144706659209452E-2</v>
      </c>
      <c r="F111" s="97" t="s">
        <v>98</v>
      </c>
      <c r="G111" s="135">
        <v>5</v>
      </c>
      <c r="H111" s="136">
        <v>510.11900000000003</v>
      </c>
      <c r="I111" s="135">
        <v>0</v>
      </c>
      <c r="J111" s="136">
        <v>0</v>
      </c>
      <c r="K111" s="135">
        <v>0</v>
      </c>
      <c r="L111" s="136">
        <v>0</v>
      </c>
      <c r="M111" s="135">
        <v>0</v>
      </c>
      <c r="N111" s="136">
        <v>0</v>
      </c>
      <c r="O111" s="135">
        <v>37</v>
      </c>
      <c r="P111" s="136">
        <v>26.904993000000005</v>
      </c>
      <c r="Q111" s="135">
        <v>0</v>
      </c>
      <c r="R111" s="136">
        <v>0</v>
      </c>
    </row>
    <row r="112" spans="1:18">
      <c r="A112" s="93" t="s">
        <v>99</v>
      </c>
      <c r="B112" s="94">
        <f t="shared" si="26"/>
        <v>142</v>
      </c>
      <c r="C112" s="95">
        <f t="shared" si="27"/>
        <v>76.216940503751829</v>
      </c>
      <c r="D112" s="96">
        <f t="shared" si="28"/>
        <v>1.5817085557604379E-3</v>
      </c>
      <c r="F112" s="97" t="s">
        <v>99</v>
      </c>
      <c r="G112" s="135">
        <v>0</v>
      </c>
      <c r="H112" s="136">
        <v>0</v>
      </c>
      <c r="I112" s="135">
        <v>0</v>
      </c>
      <c r="J112" s="136">
        <v>0</v>
      </c>
      <c r="K112" s="135">
        <v>0</v>
      </c>
      <c r="L112" s="136">
        <v>0</v>
      </c>
      <c r="M112" s="135">
        <v>0</v>
      </c>
      <c r="N112" s="136">
        <v>0</v>
      </c>
      <c r="O112" s="135">
        <v>142</v>
      </c>
      <c r="P112" s="136">
        <v>76.216940503751829</v>
      </c>
      <c r="Q112" s="135">
        <v>0</v>
      </c>
      <c r="R112" s="136">
        <v>0</v>
      </c>
    </row>
    <row r="113" spans="1:18">
      <c r="A113" s="93" t="s">
        <v>100</v>
      </c>
      <c r="B113" s="94">
        <f t="shared" si="26"/>
        <v>265</v>
      </c>
      <c r="C113" s="95">
        <f t="shared" si="27"/>
        <v>18788.587595069996</v>
      </c>
      <c r="D113" s="96">
        <f t="shared" si="28"/>
        <v>0.38991423105357725</v>
      </c>
      <c r="F113" s="97" t="s">
        <v>100</v>
      </c>
      <c r="G113" s="135">
        <v>106</v>
      </c>
      <c r="H113" s="136">
        <v>18646.626495069995</v>
      </c>
      <c r="I113" s="135">
        <v>3</v>
      </c>
      <c r="J113" s="136">
        <v>5.3426</v>
      </c>
      <c r="K113" s="135">
        <v>1</v>
      </c>
      <c r="L113" s="136">
        <v>50</v>
      </c>
      <c r="M113" s="135">
        <v>0</v>
      </c>
      <c r="N113" s="136">
        <v>0</v>
      </c>
      <c r="O113" s="135">
        <v>155</v>
      </c>
      <c r="P113" s="136">
        <v>86.618500000000026</v>
      </c>
      <c r="Q113" s="135">
        <v>0</v>
      </c>
      <c r="R113" s="136">
        <v>0</v>
      </c>
    </row>
    <row r="114" spans="1:18">
      <c r="A114" s="93" t="s">
        <v>101</v>
      </c>
      <c r="B114" s="94">
        <f t="shared" si="26"/>
        <v>138</v>
      </c>
      <c r="C114" s="95">
        <f t="shared" si="27"/>
        <v>6725.3802617686588</v>
      </c>
      <c r="D114" s="96">
        <f t="shared" si="28"/>
        <v>0.13956990966146454</v>
      </c>
      <c r="F114" s="97" t="s">
        <v>101</v>
      </c>
      <c r="G114" s="135">
        <v>56</v>
      </c>
      <c r="H114" s="136">
        <v>6655.5277516404531</v>
      </c>
      <c r="I114" s="135">
        <v>2</v>
      </c>
      <c r="J114" s="136">
        <v>3.2250000000000001</v>
      </c>
      <c r="K114" s="135">
        <v>2</v>
      </c>
      <c r="L114" s="136">
        <v>13.141149</v>
      </c>
      <c r="M114" s="135">
        <v>0</v>
      </c>
      <c r="N114" s="136">
        <v>0</v>
      </c>
      <c r="O114" s="135">
        <v>78</v>
      </c>
      <c r="P114" s="136">
        <v>53.486361128205139</v>
      </c>
      <c r="Q114" s="135">
        <v>0</v>
      </c>
      <c r="R114" s="136">
        <v>0</v>
      </c>
    </row>
    <row r="115" spans="1:18" ht="17.25">
      <c r="A115" s="104" t="s">
        <v>102</v>
      </c>
      <c r="B115" s="89">
        <f>SUM(B116:B117)</f>
        <v>4141</v>
      </c>
      <c r="C115" s="90">
        <f>SUM(C116:C117)</f>
        <v>526.82287979499995</v>
      </c>
      <c r="D115" s="91">
        <f>SUM(D116:D117)</f>
        <v>1.0975060727242168E-2</v>
      </c>
      <c r="E115" s="123"/>
      <c r="F115" s="97"/>
      <c r="G115" s="135"/>
      <c r="H115" s="136"/>
      <c r="I115" s="135"/>
      <c r="J115" s="136"/>
      <c r="K115" s="135"/>
      <c r="L115" s="136"/>
      <c r="M115" s="135"/>
      <c r="N115" s="136"/>
      <c r="O115" s="135"/>
      <c r="P115" s="136"/>
      <c r="Q115" s="135"/>
      <c r="R115" s="136"/>
    </row>
    <row r="116" spans="1:18">
      <c r="A116" s="93" t="s">
        <v>94</v>
      </c>
      <c r="B116" s="94">
        <f>Q107</f>
        <v>3261</v>
      </c>
      <c r="C116" s="95">
        <f>R107</f>
        <v>343.49540622249992</v>
      </c>
      <c r="D116" s="96">
        <f>C116/$C$102</f>
        <v>7.128462770816555E-3</v>
      </c>
      <c r="F116" s="97"/>
      <c r="G116" s="135"/>
      <c r="H116" s="136"/>
      <c r="I116" s="135"/>
      <c r="J116" s="136"/>
      <c r="K116" s="135"/>
      <c r="L116" s="136"/>
      <c r="M116" s="135"/>
      <c r="N116" s="136"/>
      <c r="O116" s="135"/>
      <c r="P116" s="136"/>
      <c r="Q116" s="135"/>
      <c r="R116" s="136"/>
    </row>
    <row r="117" spans="1:18">
      <c r="A117" s="93" t="s">
        <v>96</v>
      </c>
      <c r="B117" s="94">
        <f>Q109</f>
        <v>880</v>
      </c>
      <c r="C117" s="95">
        <f>R109</f>
        <v>183.32747357250005</v>
      </c>
      <c r="D117" s="96">
        <f>C117/$C$103</f>
        <v>3.8465979564256121E-3</v>
      </c>
      <c r="F117" s="97"/>
      <c r="G117" s="135"/>
      <c r="H117" s="136"/>
      <c r="I117" s="135"/>
      <c r="J117" s="136"/>
      <c r="K117" s="135"/>
      <c r="L117" s="136"/>
      <c r="M117" s="135"/>
      <c r="N117" s="136"/>
      <c r="O117" s="135"/>
      <c r="P117" s="136"/>
      <c r="Q117" s="135"/>
      <c r="R117" s="136"/>
    </row>
    <row r="118" spans="1:18">
      <c r="A118" s="84" t="s">
        <v>20</v>
      </c>
      <c r="B118" s="85">
        <f>SUM(B119:B129)</f>
        <v>65</v>
      </c>
      <c r="C118" s="86">
        <f>SUM(C119:C129)</f>
        <v>254.74798901036436</v>
      </c>
      <c r="D118" s="87">
        <f>SUM(D119:D129)</f>
        <v>1</v>
      </c>
      <c r="F118" s="84" t="s">
        <v>20</v>
      </c>
      <c r="G118" s="85">
        <f>SUM(G119:G129)</f>
        <v>25</v>
      </c>
      <c r="H118" s="86">
        <f t="shared" ref="H118:R118" si="29">SUM(H119:H129)</f>
        <v>203.92887717689536</v>
      </c>
      <c r="I118" s="85">
        <f t="shared" si="29"/>
        <v>6</v>
      </c>
      <c r="J118" s="86">
        <f t="shared" si="29"/>
        <v>27.324653999999999</v>
      </c>
      <c r="K118" s="85">
        <f t="shared" si="29"/>
        <v>0</v>
      </c>
      <c r="L118" s="86">
        <f t="shared" si="29"/>
        <v>0</v>
      </c>
      <c r="M118" s="85">
        <f t="shared" si="29"/>
        <v>0</v>
      </c>
      <c r="N118" s="86">
        <f t="shared" si="29"/>
        <v>0</v>
      </c>
      <c r="O118" s="85">
        <f t="shared" si="29"/>
        <v>34</v>
      </c>
      <c r="P118" s="86">
        <f t="shared" si="29"/>
        <v>23.494457833469045</v>
      </c>
      <c r="Q118" s="85">
        <f t="shared" si="29"/>
        <v>0</v>
      </c>
      <c r="R118" s="86">
        <f t="shared" si="29"/>
        <v>0</v>
      </c>
    </row>
    <row r="119" spans="1:18">
      <c r="A119" s="99" t="s">
        <v>91</v>
      </c>
      <c r="B119" s="94">
        <f t="shared" ref="B119:B129" si="30">G119+I119+K119+M119+O119</f>
        <v>6</v>
      </c>
      <c r="C119" s="95">
        <f t="shared" ref="C119:C129" si="31">H119+J119+L119+N119+P119</f>
        <v>2.4913689000000003</v>
      </c>
      <c r="D119" s="96">
        <f>C119/$C$118</f>
        <v>9.7797392225876991E-3</v>
      </c>
      <c r="F119" s="97" t="s">
        <v>91</v>
      </c>
      <c r="G119" s="135">
        <v>1</v>
      </c>
      <c r="H119" s="136">
        <v>0.80636890000000006</v>
      </c>
      <c r="I119" s="135">
        <v>0</v>
      </c>
      <c r="J119" s="136">
        <v>0</v>
      </c>
      <c r="K119" s="135">
        <v>0</v>
      </c>
      <c r="L119" s="136">
        <v>0</v>
      </c>
      <c r="M119" s="135">
        <v>0</v>
      </c>
      <c r="N119" s="136">
        <v>0</v>
      </c>
      <c r="O119" s="135">
        <v>5</v>
      </c>
      <c r="P119" s="136">
        <v>1.6850000000000001</v>
      </c>
      <c r="Q119" s="135">
        <v>0</v>
      </c>
      <c r="R119" s="136">
        <v>0</v>
      </c>
    </row>
    <row r="120" spans="1:18">
      <c r="A120" s="99" t="s">
        <v>92</v>
      </c>
      <c r="B120" s="94">
        <f t="shared" si="30"/>
        <v>3</v>
      </c>
      <c r="C120" s="95">
        <f t="shared" si="31"/>
        <v>4.7357817228571433</v>
      </c>
      <c r="D120" s="96">
        <f>C120/$C$118</f>
        <v>1.8590065190522344E-2</v>
      </c>
      <c r="F120" s="97" t="s">
        <v>92</v>
      </c>
      <c r="G120" s="135">
        <v>1</v>
      </c>
      <c r="H120" s="136">
        <v>2.74936808</v>
      </c>
      <c r="I120" s="135">
        <v>0</v>
      </c>
      <c r="J120" s="136">
        <v>0</v>
      </c>
      <c r="K120" s="135">
        <v>0</v>
      </c>
      <c r="L120" s="136">
        <v>0</v>
      </c>
      <c r="M120" s="135">
        <v>0</v>
      </c>
      <c r="N120" s="136">
        <v>0</v>
      </c>
      <c r="O120" s="135">
        <v>2</v>
      </c>
      <c r="P120" s="136">
        <v>1.9864136428571431</v>
      </c>
      <c r="Q120" s="135">
        <v>0</v>
      </c>
      <c r="R120" s="136">
        <v>0</v>
      </c>
    </row>
    <row r="121" spans="1:18">
      <c r="A121" s="99" t="s">
        <v>93</v>
      </c>
      <c r="B121" s="94">
        <f t="shared" si="30"/>
        <v>6</v>
      </c>
      <c r="C121" s="95">
        <f t="shared" si="31"/>
        <v>34.614775142233469</v>
      </c>
      <c r="D121" s="96">
        <f t="shared" ref="D121:D129" si="32">C121/$C$118</f>
        <v>0.13587850203137491</v>
      </c>
      <c r="F121" s="97" t="s">
        <v>93</v>
      </c>
      <c r="G121" s="135">
        <v>1</v>
      </c>
      <c r="H121" s="136">
        <v>10.155548900000001</v>
      </c>
      <c r="I121" s="135">
        <v>3</v>
      </c>
      <c r="J121" s="136">
        <v>23.524653999999998</v>
      </c>
      <c r="K121" s="135">
        <v>0</v>
      </c>
      <c r="L121" s="136">
        <v>0</v>
      </c>
      <c r="M121" s="135">
        <v>0</v>
      </c>
      <c r="N121" s="136">
        <v>0</v>
      </c>
      <c r="O121" s="135">
        <v>2</v>
      </c>
      <c r="P121" s="136">
        <v>0.93457224223346824</v>
      </c>
      <c r="Q121" s="135">
        <v>0</v>
      </c>
      <c r="R121" s="136">
        <v>0</v>
      </c>
    </row>
    <row r="122" spans="1:18">
      <c r="A122" s="99" t="s">
        <v>94</v>
      </c>
      <c r="B122" s="94">
        <f t="shared" si="30"/>
        <v>7</v>
      </c>
      <c r="C122" s="95">
        <f t="shared" si="31"/>
        <v>7.983256299999999</v>
      </c>
      <c r="D122" s="96">
        <f t="shared" si="32"/>
        <v>3.1337857978832574E-2</v>
      </c>
      <c r="F122" s="97" t="s">
        <v>94</v>
      </c>
      <c r="G122" s="135">
        <v>3</v>
      </c>
      <c r="H122" s="136">
        <v>5.9327123499999992</v>
      </c>
      <c r="I122" s="135">
        <v>0</v>
      </c>
      <c r="J122" s="136">
        <v>0</v>
      </c>
      <c r="K122" s="135">
        <v>0</v>
      </c>
      <c r="L122" s="136">
        <v>0</v>
      </c>
      <c r="M122" s="135">
        <v>0</v>
      </c>
      <c r="N122" s="136">
        <v>0</v>
      </c>
      <c r="O122" s="135">
        <v>4</v>
      </c>
      <c r="P122" s="136">
        <v>2.0505439500000002</v>
      </c>
      <c r="Q122" s="135">
        <v>0</v>
      </c>
      <c r="R122" s="136">
        <v>0</v>
      </c>
    </row>
    <row r="123" spans="1:18">
      <c r="A123" s="99" t="s">
        <v>95</v>
      </c>
      <c r="B123" s="94">
        <f t="shared" si="30"/>
        <v>1</v>
      </c>
      <c r="C123" s="95">
        <f t="shared" si="31"/>
        <v>1.9325093793547006</v>
      </c>
      <c r="D123" s="96">
        <f t="shared" si="32"/>
        <v>7.5859651998119474E-3</v>
      </c>
      <c r="F123" s="97" t="s">
        <v>95</v>
      </c>
      <c r="G123" s="135">
        <v>0</v>
      </c>
      <c r="H123" s="136">
        <v>0</v>
      </c>
      <c r="I123" s="135">
        <v>1</v>
      </c>
      <c r="J123" s="136">
        <v>1</v>
      </c>
      <c r="K123" s="135">
        <v>0</v>
      </c>
      <c r="L123" s="136">
        <v>0</v>
      </c>
      <c r="M123" s="135">
        <v>0</v>
      </c>
      <c r="N123" s="136">
        <v>0</v>
      </c>
      <c r="O123" s="135">
        <v>0</v>
      </c>
      <c r="P123" s="136">
        <v>0.93250937935470046</v>
      </c>
      <c r="Q123" s="135">
        <v>0</v>
      </c>
      <c r="R123" s="136">
        <v>0</v>
      </c>
    </row>
    <row r="124" spans="1:18">
      <c r="A124" s="99" t="s">
        <v>96</v>
      </c>
      <c r="B124" s="94">
        <f t="shared" si="30"/>
        <v>1</v>
      </c>
      <c r="C124" s="95">
        <f t="shared" si="31"/>
        <v>0.55517499999999997</v>
      </c>
      <c r="D124" s="96">
        <f t="shared" si="32"/>
        <v>2.1793106283457759E-3</v>
      </c>
      <c r="F124" s="97" t="s">
        <v>96</v>
      </c>
      <c r="G124" s="135">
        <v>0</v>
      </c>
      <c r="H124" s="136">
        <v>0</v>
      </c>
      <c r="I124" s="135">
        <v>0</v>
      </c>
      <c r="J124" s="136">
        <v>0</v>
      </c>
      <c r="K124" s="135">
        <v>0</v>
      </c>
      <c r="L124" s="136">
        <v>0</v>
      </c>
      <c r="M124" s="135">
        <v>0</v>
      </c>
      <c r="N124" s="136">
        <v>0</v>
      </c>
      <c r="O124" s="135">
        <v>1</v>
      </c>
      <c r="P124" s="136">
        <v>0.55517499999999997</v>
      </c>
      <c r="Q124" s="135">
        <v>0</v>
      </c>
      <c r="R124" s="136">
        <v>0</v>
      </c>
    </row>
    <row r="125" spans="1:18">
      <c r="A125" s="99" t="s">
        <v>97</v>
      </c>
      <c r="B125" s="94">
        <f t="shared" si="30"/>
        <v>1</v>
      </c>
      <c r="C125" s="95">
        <f t="shared" si="31"/>
        <v>15.211368905565978</v>
      </c>
      <c r="D125" s="96">
        <f t="shared" si="32"/>
        <v>5.9711438605103598E-2</v>
      </c>
      <c r="F125" s="97" t="s">
        <v>97</v>
      </c>
      <c r="G125" s="135">
        <v>1</v>
      </c>
      <c r="H125" s="136">
        <v>15</v>
      </c>
      <c r="I125" s="135">
        <v>0</v>
      </c>
      <c r="J125" s="136">
        <v>0</v>
      </c>
      <c r="K125" s="135">
        <v>0</v>
      </c>
      <c r="L125" s="136">
        <v>0</v>
      </c>
      <c r="M125" s="135">
        <v>0</v>
      </c>
      <c r="N125" s="136">
        <v>0</v>
      </c>
      <c r="O125" s="135">
        <v>0</v>
      </c>
      <c r="P125" s="136">
        <v>0.21136890556597876</v>
      </c>
      <c r="Q125" s="135">
        <v>0</v>
      </c>
      <c r="R125" s="136">
        <v>0</v>
      </c>
    </row>
    <row r="126" spans="1:18">
      <c r="A126" s="99" t="s">
        <v>98</v>
      </c>
      <c r="B126" s="94">
        <f t="shared" si="30"/>
        <v>10</v>
      </c>
      <c r="C126" s="95">
        <f t="shared" si="31"/>
        <v>19.72512742</v>
      </c>
      <c r="D126" s="96">
        <f t="shared" si="32"/>
        <v>7.7429963222192449E-2</v>
      </c>
      <c r="F126" s="97" t="s">
        <v>98</v>
      </c>
      <c r="G126" s="135">
        <v>5</v>
      </c>
      <c r="H126" s="136">
        <v>17.55213642</v>
      </c>
      <c r="I126" s="135">
        <v>0</v>
      </c>
      <c r="J126" s="136">
        <v>0</v>
      </c>
      <c r="K126" s="135">
        <v>0</v>
      </c>
      <c r="L126" s="136">
        <v>0</v>
      </c>
      <c r="M126" s="135">
        <v>0</v>
      </c>
      <c r="N126" s="136">
        <v>0</v>
      </c>
      <c r="O126" s="135">
        <v>5</v>
      </c>
      <c r="P126" s="136">
        <v>2.1729910000000001</v>
      </c>
      <c r="Q126" s="135">
        <v>0</v>
      </c>
      <c r="R126" s="136">
        <v>0</v>
      </c>
    </row>
    <row r="127" spans="1:18">
      <c r="A127" s="99" t="s">
        <v>99</v>
      </c>
      <c r="B127" s="94">
        <f t="shared" si="30"/>
        <v>19</v>
      </c>
      <c r="C127" s="95">
        <f t="shared" si="31"/>
        <v>136.47677146214795</v>
      </c>
      <c r="D127" s="96">
        <f t="shared" si="32"/>
        <v>0.5357324781731464</v>
      </c>
      <c r="F127" s="97" t="s">
        <v>99</v>
      </c>
      <c r="G127" s="135">
        <v>7</v>
      </c>
      <c r="H127" s="136">
        <v>127.02530124689532</v>
      </c>
      <c r="I127" s="135">
        <v>1</v>
      </c>
      <c r="J127" s="136">
        <v>2</v>
      </c>
      <c r="K127" s="135">
        <v>0</v>
      </c>
      <c r="L127" s="136">
        <v>0</v>
      </c>
      <c r="M127" s="135">
        <v>0</v>
      </c>
      <c r="N127" s="136">
        <v>0</v>
      </c>
      <c r="O127" s="135">
        <v>11</v>
      </c>
      <c r="P127" s="136">
        <v>7.4514702152526269</v>
      </c>
      <c r="Q127" s="135">
        <v>0</v>
      </c>
      <c r="R127" s="136">
        <v>0</v>
      </c>
    </row>
    <row r="128" spans="1:18">
      <c r="A128" s="99" t="s">
        <v>100</v>
      </c>
      <c r="B128" s="94">
        <f t="shared" si="30"/>
        <v>7</v>
      </c>
      <c r="C128" s="95">
        <f t="shared" si="31"/>
        <v>26.017523400000002</v>
      </c>
      <c r="D128" s="96">
        <f t="shared" si="32"/>
        <v>0.10213043683316961</v>
      </c>
      <c r="F128" s="97" t="s">
        <v>100</v>
      </c>
      <c r="G128" s="135">
        <v>5</v>
      </c>
      <c r="H128" s="136">
        <v>22.52131503</v>
      </c>
      <c r="I128" s="135">
        <v>1</v>
      </c>
      <c r="J128" s="136">
        <v>0.8</v>
      </c>
      <c r="K128" s="135">
        <v>0</v>
      </c>
      <c r="L128" s="136">
        <v>0</v>
      </c>
      <c r="M128" s="135">
        <v>0</v>
      </c>
      <c r="N128" s="136">
        <v>0</v>
      </c>
      <c r="O128" s="135">
        <v>1</v>
      </c>
      <c r="P128" s="136">
        <v>2.6962083699999999</v>
      </c>
      <c r="Q128" s="135">
        <v>0</v>
      </c>
      <c r="R128" s="136">
        <v>0</v>
      </c>
    </row>
    <row r="129" spans="1:18">
      <c r="A129" s="99" t="s">
        <v>101</v>
      </c>
      <c r="B129" s="94">
        <f t="shared" si="30"/>
        <v>4</v>
      </c>
      <c r="C129" s="95">
        <f t="shared" si="31"/>
        <v>5.0043313782051282</v>
      </c>
      <c r="D129" s="96">
        <f t="shared" si="32"/>
        <v>1.9644242914912777E-2</v>
      </c>
      <c r="F129" s="97" t="s">
        <v>101</v>
      </c>
      <c r="G129" s="135">
        <v>1</v>
      </c>
      <c r="H129" s="136">
        <v>2.18612625</v>
      </c>
      <c r="I129" s="135">
        <v>0</v>
      </c>
      <c r="J129" s="136">
        <v>0</v>
      </c>
      <c r="K129" s="135">
        <v>0</v>
      </c>
      <c r="L129" s="136">
        <v>0</v>
      </c>
      <c r="M129" s="135">
        <v>0</v>
      </c>
      <c r="N129" s="136">
        <v>0</v>
      </c>
      <c r="O129" s="135">
        <v>3</v>
      </c>
      <c r="P129" s="136">
        <v>2.8182051282051281</v>
      </c>
      <c r="Q129" s="135">
        <v>0</v>
      </c>
      <c r="R129" s="136">
        <v>0</v>
      </c>
    </row>
    <row r="130" spans="1:18">
      <c r="A130" s="84" t="s">
        <v>21</v>
      </c>
      <c r="B130" s="85">
        <f>SUM(B131:B141)</f>
        <v>72</v>
      </c>
      <c r="C130" s="86">
        <f>SUM(C131:C141)</f>
        <v>207.92713555560016</v>
      </c>
      <c r="D130" s="87">
        <f>SUM(D131:D141)</f>
        <v>1</v>
      </c>
      <c r="F130" s="84" t="s">
        <v>21</v>
      </c>
      <c r="G130" s="85">
        <f>SUM(G131:G141)</f>
        <v>10</v>
      </c>
      <c r="H130" s="86">
        <f t="shared" ref="H130:R130" si="33">SUM(H131:H141)</f>
        <v>83.477921899999998</v>
      </c>
      <c r="I130" s="85">
        <f t="shared" si="33"/>
        <v>14</v>
      </c>
      <c r="J130" s="86">
        <f t="shared" si="33"/>
        <v>83.539999999999992</v>
      </c>
      <c r="K130" s="85">
        <f t="shared" si="33"/>
        <v>0</v>
      </c>
      <c r="L130" s="86">
        <f t="shared" si="33"/>
        <v>0</v>
      </c>
      <c r="M130" s="85">
        <f t="shared" si="33"/>
        <v>0</v>
      </c>
      <c r="N130" s="86">
        <f t="shared" si="33"/>
        <v>0</v>
      </c>
      <c r="O130" s="85">
        <f t="shared" si="33"/>
        <v>48</v>
      </c>
      <c r="P130" s="86">
        <f t="shared" si="33"/>
        <v>40.90921365560019</v>
      </c>
      <c r="Q130" s="85">
        <f t="shared" si="33"/>
        <v>0</v>
      </c>
      <c r="R130" s="86">
        <f t="shared" si="33"/>
        <v>0</v>
      </c>
    </row>
    <row r="131" spans="1:18">
      <c r="A131" s="99" t="s">
        <v>91</v>
      </c>
      <c r="B131" s="94">
        <f t="shared" ref="B131:B141" si="34">G131+I131+K131+M131+O131</f>
        <v>9</v>
      </c>
      <c r="C131" s="95">
        <f t="shared" ref="C131:C141" si="35">H131+J131+L131+N131+P131</f>
        <v>10.34520708</v>
      </c>
      <c r="D131" s="96">
        <f>C131/$C$130</f>
        <v>4.9754001815860489E-2</v>
      </c>
      <c r="F131" s="97" t="s">
        <v>91</v>
      </c>
      <c r="G131" s="135">
        <v>1</v>
      </c>
      <c r="H131" s="136">
        <v>6.3962070799999999</v>
      </c>
      <c r="I131" s="135">
        <v>0</v>
      </c>
      <c r="J131" s="136">
        <v>0</v>
      </c>
      <c r="K131" s="135">
        <v>0</v>
      </c>
      <c r="L131" s="136">
        <v>0</v>
      </c>
      <c r="M131" s="135">
        <v>0</v>
      </c>
      <c r="N131" s="136">
        <v>0</v>
      </c>
      <c r="O131" s="135">
        <v>8</v>
      </c>
      <c r="P131" s="136">
        <v>3.9490000000000003</v>
      </c>
      <c r="Q131" s="135">
        <v>0</v>
      </c>
      <c r="R131" s="136">
        <v>0</v>
      </c>
    </row>
    <row r="132" spans="1:18">
      <c r="A132" s="99" t="s">
        <v>92</v>
      </c>
      <c r="B132" s="94">
        <f t="shared" si="34"/>
        <v>4</v>
      </c>
      <c r="C132" s="95">
        <f t="shared" si="35"/>
        <v>10.392105942857144</v>
      </c>
      <c r="D132" s="96">
        <f t="shared" ref="D132:D141" si="36">C132/$C$130</f>
        <v>4.9979556131952159E-2</v>
      </c>
      <c r="F132" s="97" t="s">
        <v>92</v>
      </c>
      <c r="G132" s="135">
        <v>0</v>
      </c>
      <c r="H132" s="136">
        <v>0</v>
      </c>
      <c r="I132" s="135">
        <v>2</v>
      </c>
      <c r="J132" s="136">
        <v>8.3000000000000007</v>
      </c>
      <c r="K132" s="135">
        <v>0</v>
      </c>
      <c r="L132" s="136">
        <v>0</v>
      </c>
      <c r="M132" s="135">
        <v>0</v>
      </c>
      <c r="N132" s="136">
        <v>0</v>
      </c>
      <c r="O132" s="135">
        <v>2</v>
      </c>
      <c r="P132" s="136">
        <v>2.0921059428571431</v>
      </c>
      <c r="Q132" s="135">
        <v>0</v>
      </c>
      <c r="R132" s="136">
        <v>0</v>
      </c>
    </row>
    <row r="133" spans="1:18">
      <c r="A133" s="99" t="s">
        <v>93</v>
      </c>
      <c r="B133" s="94">
        <f t="shared" si="34"/>
        <v>8</v>
      </c>
      <c r="C133" s="95">
        <f t="shared" si="35"/>
        <v>36.876186219376322</v>
      </c>
      <c r="D133" s="96">
        <f t="shared" si="36"/>
        <v>0.17735148479220766</v>
      </c>
      <c r="F133" s="97" t="s">
        <v>93</v>
      </c>
      <c r="G133" s="135">
        <v>2</v>
      </c>
      <c r="H133" s="136">
        <v>9.1028291199999991</v>
      </c>
      <c r="I133" s="135">
        <v>3</v>
      </c>
      <c r="J133" s="136">
        <v>24</v>
      </c>
      <c r="K133" s="135">
        <v>0</v>
      </c>
      <c r="L133" s="136">
        <v>0</v>
      </c>
      <c r="M133" s="135">
        <v>0</v>
      </c>
      <c r="N133" s="136">
        <v>0</v>
      </c>
      <c r="O133" s="135">
        <v>3</v>
      </c>
      <c r="P133" s="136">
        <v>3.7733570993763257</v>
      </c>
      <c r="Q133" s="135">
        <v>0</v>
      </c>
      <c r="R133" s="136">
        <v>0</v>
      </c>
    </row>
    <row r="134" spans="1:18">
      <c r="A134" s="99" t="s">
        <v>94</v>
      </c>
      <c r="B134" s="94">
        <f t="shared" si="34"/>
        <v>3</v>
      </c>
      <c r="C134" s="95">
        <f t="shared" si="35"/>
        <v>1.13777679</v>
      </c>
      <c r="D134" s="96">
        <f t="shared" si="36"/>
        <v>5.471997615702045E-3</v>
      </c>
      <c r="F134" s="97" t="s">
        <v>94</v>
      </c>
      <c r="G134" s="135">
        <v>0</v>
      </c>
      <c r="H134" s="136">
        <v>0</v>
      </c>
      <c r="I134" s="135">
        <v>0</v>
      </c>
      <c r="J134" s="136">
        <v>0</v>
      </c>
      <c r="K134" s="135">
        <v>0</v>
      </c>
      <c r="L134" s="136">
        <v>0</v>
      </c>
      <c r="M134" s="135">
        <v>0</v>
      </c>
      <c r="N134" s="136">
        <v>0</v>
      </c>
      <c r="O134" s="135">
        <v>3</v>
      </c>
      <c r="P134" s="136">
        <v>1.13777679</v>
      </c>
      <c r="Q134" s="135">
        <v>0</v>
      </c>
      <c r="R134" s="136">
        <v>0</v>
      </c>
    </row>
    <row r="135" spans="1:18">
      <c r="A135" s="99" t="s">
        <v>95</v>
      </c>
      <c r="B135" s="94">
        <f t="shared" si="34"/>
        <v>2</v>
      </c>
      <c r="C135" s="95">
        <f t="shared" si="35"/>
        <v>2.2916543449249391</v>
      </c>
      <c r="D135" s="96">
        <f t="shared" si="36"/>
        <v>1.10214298812006E-2</v>
      </c>
      <c r="F135" s="97" t="s">
        <v>95</v>
      </c>
      <c r="G135" s="135">
        <v>0</v>
      </c>
      <c r="H135" s="136">
        <v>0</v>
      </c>
      <c r="I135" s="135">
        <v>2</v>
      </c>
      <c r="J135" s="136">
        <v>1.5</v>
      </c>
      <c r="K135" s="135">
        <v>0</v>
      </c>
      <c r="L135" s="136">
        <v>0</v>
      </c>
      <c r="M135" s="135">
        <v>0</v>
      </c>
      <c r="N135" s="136">
        <v>0</v>
      </c>
      <c r="O135" s="135">
        <v>0</v>
      </c>
      <c r="P135" s="136">
        <v>0.79165434492493902</v>
      </c>
      <c r="Q135" s="135">
        <v>0</v>
      </c>
      <c r="R135" s="136">
        <v>0</v>
      </c>
    </row>
    <row r="136" spans="1:18">
      <c r="A136" s="99" t="s">
        <v>96</v>
      </c>
      <c r="B136" s="94">
        <f t="shared" si="34"/>
        <v>1</v>
      </c>
      <c r="C136" s="95">
        <f t="shared" si="35"/>
        <v>0.76343000000000005</v>
      </c>
      <c r="D136" s="96">
        <f t="shared" si="36"/>
        <v>3.6716227439965729E-3</v>
      </c>
      <c r="F136" s="97" t="s">
        <v>96</v>
      </c>
      <c r="G136" s="135">
        <v>0</v>
      </c>
      <c r="H136" s="136">
        <v>0</v>
      </c>
      <c r="I136" s="135">
        <v>0</v>
      </c>
      <c r="J136" s="136">
        <v>0</v>
      </c>
      <c r="K136" s="135">
        <v>0</v>
      </c>
      <c r="L136" s="136">
        <v>0</v>
      </c>
      <c r="M136" s="135">
        <v>0</v>
      </c>
      <c r="N136" s="136">
        <v>0</v>
      </c>
      <c r="O136" s="135">
        <v>1</v>
      </c>
      <c r="P136" s="136">
        <v>0.76343000000000005</v>
      </c>
      <c r="Q136" s="135">
        <v>0</v>
      </c>
      <c r="R136" s="136">
        <v>0</v>
      </c>
    </row>
    <row r="137" spans="1:18">
      <c r="A137" s="99" t="s">
        <v>97</v>
      </c>
      <c r="B137" s="94">
        <f t="shared" si="34"/>
        <v>0</v>
      </c>
      <c r="C137" s="95">
        <f t="shared" si="35"/>
        <v>0.21136890556597876</v>
      </c>
      <c r="D137" s="96">
        <f t="shared" si="36"/>
        <v>1.0165527698016994E-3</v>
      </c>
      <c r="F137" s="97" t="s">
        <v>97</v>
      </c>
      <c r="G137" s="135">
        <v>0</v>
      </c>
      <c r="H137" s="136">
        <v>0</v>
      </c>
      <c r="I137" s="135">
        <v>0</v>
      </c>
      <c r="J137" s="136">
        <v>0</v>
      </c>
      <c r="K137" s="135">
        <v>0</v>
      </c>
      <c r="L137" s="136">
        <v>0</v>
      </c>
      <c r="M137" s="135">
        <v>0</v>
      </c>
      <c r="N137" s="136">
        <v>0</v>
      </c>
      <c r="O137" s="135">
        <v>0</v>
      </c>
      <c r="P137" s="136">
        <v>0.21136890556597876</v>
      </c>
      <c r="Q137" s="135">
        <v>0</v>
      </c>
      <c r="R137" s="136">
        <v>0</v>
      </c>
    </row>
    <row r="138" spans="1:18">
      <c r="A138" s="99" t="s">
        <v>98</v>
      </c>
      <c r="B138" s="94">
        <f t="shared" si="34"/>
        <v>3</v>
      </c>
      <c r="C138" s="95">
        <f t="shared" si="35"/>
        <v>9.6775715099999999</v>
      </c>
      <c r="D138" s="96">
        <f t="shared" si="36"/>
        <v>4.654309060787401E-2</v>
      </c>
      <c r="F138" s="97" t="s">
        <v>98</v>
      </c>
      <c r="G138" s="135">
        <v>1</v>
      </c>
      <c r="H138" s="136">
        <v>7.8075785099999999</v>
      </c>
      <c r="I138" s="135">
        <v>0</v>
      </c>
      <c r="J138" s="136">
        <v>0</v>
      </c>
      <c r="K138" s="135">
        <v>0</v>
      </c>
      <c r="L138" s="136">
        <v>0</v>
      </c>
      <c r="M138" s="135">
        <v>0</v>
      </c>
      <c r="N138" s="136">
        <v>0</v>
      </c>
      <c r="O138" s="135">
        <v>2</v>
      </c>
      <c r="P138" s="136">
        <v>1.869993</v>
      </c>
      <c r="Q138" s="135">
        <v>0</v>
      </c>
      <c r="R138" s="136">
        <v>0</v>
      </c>
    </row>
    <row r="139" spans="1:18">
      <c r="A139" s="99" t="s">
        <v>99</v>
      </c>
      <c r="B139" s="94">
        <f t="shared" si="34"/>
        <v>30</v>
      </c>
      <c r="C139" s="95">
        <f t="shared" si="35"/>
        <v>77.668099254670679</v>
      </c>
      <c r="D139" s="96">
        <f t="shared" si="36"/>
        <v>0.3735351763834695</v>
      </c>
      <c r="F139" s="97" t="s">
        <v>99</v>
      </c>
      <c r="G139" s="135">
        <v>3</v>
      </c>
      <c r="H139" s="136">
        <v>30.814463430000004</v>
      </c>
      <c r="I139" s="135">
        <v>3</v>
      </c>
      <c r="J139" s="136">
        <v>26</v>
      </c>
      <c r="K139" s="135">
        <v>0</v>
      </c>
      <c r="L139" s="136">
        <v>0</v>
      </c>
      <c r="M139" s="135">
        <v>0</v>
      </c>
      <c r="N139" s="136">
        <v>0</v>
      </c>
      <c r="O139" s="135">
        <v>24</v>
      </c>
      <c r="P139" s="136">
        <v>20.853635824670675</v>
      </c>
      <c r="Q139" s="135">
        <v>0</v>
      </c>
      <c r="R139" s="136">
        <v>0</v>
      </c>
    </row>
    <row r="140" spans="1:18">
      <c r="A140" s="99" t="s">
        <v>100</v>
      </c>
      <c r="B140" s="94">
        <f t="shared" si="34"/>
        <v>3</v>
      </c>
      <c r="C140" s="95">
        <f t="shared" si="35"/>
        <v>7.1306866200000005</v>
      </c>
      <c r="D140" s="96">
        <f t="shared" si="36"/>
        <v>3.4294160793136304E-2</v>
      </c>
      <c r="F140" s="97" t="s">
        <v>100</v>
      </c>
      <c r="G140" s="135">
        <v>0</v>
      </c>
      <c r="H140" s="136">
        <v>0</v>
      </c>
      <c r="I140" s="135">
        <v>1</v>
      </c>
      <c r="J140" s="136">
        <v>5</v>
      </c>
      <c r="K140" s="135">
        <v>0</v>
      </c>
      <c r="L140" s="136">
        <v>0</v>
      </c>
      <c r="M140" s="135">
        <v>0</v>
      </c>
      <c r="N140" s="136">
        <v>0</v>
      </c>
      <c r="O140" s="135">
        <v>2</v>
      </c>
      <c r="P140" s="136">
        <v>2.1306866200000001</v>
      </c>
      <c r="Q140" s="135">
        <v>0</v>
      </c>
      <c r="R140" s="136">
        <v>0</v>
      </c>
    </row>
    <row r="141" spans="1:18">
      <c r="A141" s="99" t="s">
        <v>101</v>
      </c>
      <c r="B141" s="94">
        <f t="shared" si="34"/>
        <v>9</v>
      </c>
      <c r="C141" s="95">
        <f t="shared" si="35"/>
        <v>51.433048888205128</v>
      </c>
      <c r="D141" s="96">
        <f t="shared" si="36"/>
        <v>0.24736092646479912</v>
      </c>
      <c r="F141" s="97" t="s">
        <v>101</v>
      </c>
      <c r="G141" s="135">
        <v>3</v>
      </c>
      <c r="H141" s="136">
        <v>29.35684376</v>
      </c>
      <c r="I141" s="135">
        <v>3</v>
      </c>
      <c r="J141" s="136">
        <v>18.739999999999998</v>
      </c>
      <c r="K141" s="135">
        <v>0</v>
      </c>
      <c r="L141" s="136">
        <v>0</v>
      </c>
      <c r="M141" s="135">
        <v>0</v>
      </c>
      <c r="N141" s="136">
        <v>0</v>
      </c>
      <c r="O141" s="135">
        <v>3</v>
      </c>
      <c r="P141" s="136">
        <v>3.3362051282051279</v>
      </c>
      <c r="Q141" s="135">
        <v>0</v>
      </c>
      <c r="R141" s="136">
        <v>0</v>
      </c>
    </row>
    <row r="142" spans="1:18">
      <c r="A142" s="84" t="s">
        <v>22</v>
      </c>
      <c r="B142" s="85">
        <f>SUM(B143:B153)</f>
        <v>127</v>
      </c>
      <c r="C142" s="86">
        <f>SUM(C143:C153)</f>
        <v>1078.7971172434175</v>
      </c>
      <c r="D142" s="87">
        <f>SUM(D143:D153)</f>
        <v>0.99999999999999989</v>
      </c>
      <c r="F142" s="84" t="s">
        <v>22</v>
      </c>
      <c r="G142" s="85">
        <f>SUM(G143:G153)</f>
        <v>28</v>
      </c>
      <c r="H142" s="86">
        <f t="shared" ref="H142:R142" si="37">SUM(H143:H153)</f>
        <v>979.36900000000003</v>
      </c>
      <c r="I142" s="85">
        <f t="shared" si="37"/>
        <v>8</v>
      </c>
      <c r="J142" s="86">
        <f t="shared" si="37"/>
        <v>41.44</v>
      </c>
      <c r="K142" s="85">
        <f t="shared" si="37"/>
        <v>0</v>
      </c>
      <c r="L142" s="86">
        <f t="shared" si="37"/>
        <v>0</v>
      </c>
      <c r="M142" s="85">
        <f t="shared" si="37"/>
        <v>0</v>
      </c>
      <c r="N142" s="86">
        <f t="shared" si="37"/>
        <v>0</v>
      </c>
      <c r="O142" s="85">
        <f t="shared" si="37"/>
        <v>91</v>
      </c>
      <c r="P142" s="86">
        <f t="shared" si="37"/>
        <v>57.98811724341742</v>
      </c>
      <c r="Q142" s="85">
        <f t="shared" si="37"/>
        <v>0</v>
      </c>
      <c r="R142" s="86">
        <f t="shared" si="37"/>
        <v>0</v>
      </c>
    </row>
    <row r="143" spans="1:18">
      <c r="A143" s="99" t="s">
        <v>91</v>
      </c>
      <c r="B143" s="94">
        <f t="shared" ref="B143:B153" si="38">G143+I143+K143+M143+O143</f>
        <v>26</v>
      </c>
      <c r="C143" s="95">
        <f t="shared" ref="C143:C153" si="39">H143+J143+L143+N143+P143</f>
        <v>60.241800000000005</v>
      </c>
      <c r="D143" s="96">
        <f>C143/$C$142</f>
        <v>5.5841639764418444E-2</v>
      </c>
      <c r="F143" s="97" t="s">
        <v>91</v>
      </c>
      <c r="G143" s="135">
        <v>4</v>
      </c>
      <c r="H143" s="136">
        <v>52.6</v>
      </c>
      <c r="I143" s="135">
        <v>0</v>
      </c>
      <c r="J143" s="136">
        <v>0</v>
      </c>
      <c r="K143" s="135">
        <v>0</v>
      </c>
      <c r="L143" s="136">
        <v>0</v>
      </c>
      <c r="M143" s="135">
        <v>0</v>
      </c>
      <c r="N143" s="136">
        <v>0</v>
      </c>
      <c r="O143" s="135">
        <v>22</v>
      </c>
      <c r="P143" s="136">
        <v>7.6418000000000008</v>
      </c>
      <c r="Q143" s="135">
        <v>0</v>
      </c>
      <c r="R143" s="136">
        <v>0</v>
      </c>
    </row>
    <row r="144" spans="1:18">
      <c r="A144" s="99" t="s">
        <v>92</v>
      </c>
      <c r="B144" s="94">
        <f t="shared" si="38"/>
        <v>0</v>
      </c>
      <c r="C144" s="95">
        <f t="shared" si="39"/>
        <v>1.347105952857143</v>
      </c>
      <c r="D144" s="96">
        <f t="shared" ref="D144:D153" si="40">C144/$C$142</f>
        <v>1.2487111165993086E-3</v>
      </c>
      <c r="F144" s="97" t="s">
        <v>92</v>
      </c>
      <c r="G144" s="135">
        <v>0</v>
      </c>
      <c r="H144" s="136">
        <v>0</v>
      </c>
      <c r="I144" s="135">
        <v>0</v>
      </c>
      <c r="J144" s="136">
        <v>0</v>
      </c>
      <c r="K144" s="135">
        <v>0</v>
      </c>
      <c r="L144" s="136">
        <v>0</v>
      </c>
      <c r="M144" s="135">
        <v>0</v>
      </c>
      <c r="N144" s="136">
        <v>0</v>
      </c>
      <c r="O144" s="135">
        <v>0</v>
      </c>
      <c r="P144" s="136">
        <v>1.347105952857143</v>
      </c>
      <c r="Q144" s="135">
        <v>0</v>
      </c>
      <c r="R144" s="136">
        <v>0</v>
      </c>
    </row>
    <row r="145" spans="1:18">
      <c r="A145" s="99" t="s">
        <v>93</v>
      </c>
      <c r="B145" s="94">
        <f t="shared" si="38"/>
        <v>11</v>
      </c>
      <c r="C145" s="95">
        <f t="shared" si="39"/>
        <v>41.394617692233467</v>
      </c>
      <c r="D145" s="96">
        <f t="shared" si="40"/>
        <v>3.8371086676618614E-2</v>
      </c>
      <c r="F145" s="97" t="s">
        <v>93</v>
      </c>
      <c r="G145" s="135">
        <v>3</v>
      </c>
      <c r="H145" s="136">
        <v>36.9</v>
      </c>
      <c r="I145" s="135">
        <v>0</v>
      </c>
      <c r="J145" s="136">
        <v>0</v>
      </c>
      <c r="K145" s="135">
        <v>0</v>
      </c>
      <c r="L145" s="136">
        <v>0</v>
      </c>
      <c r="M145" s="135">
        <v>0</v>
      </c>
      <c r="N145" s="136">
        <v>0</v>
      </c>
      <c r="O145" s="135">
        <v>8</v>
      </c>
      <c r="P145" s="136">
        <v>4.4946176922334686</v>
      </c>
      <c r="Q145" s="135">
        <v>0</v>
      </c>
      <c r="R145" s="136">
        <v>0</v>
      </c>
    </row>
    <row r="146" spans="1:18">
      <c r="A146" s="99" t="s">
        <v>94</v>
      </c>
      <c r="B146" s="94">
        <f t="shared" si="38"/>
        <v>15</v>
      </c>
      <c r="C146" s="95">
        <f t="shared" si="39"/>
        <v>27.257255858421054</v>
      </c>
      <c r="D146" s="96">
        <f t="shared" si="40"/>
        <v>2.5266341022554647E-2</v>
      </c>
      <c r="F146" s="97" t="s">
        <v>94</v>
      </c>
      <c r="G146" s="135">
        <v>3</v>
      </c>
      <c r="H146" s="136">
        <v>18.600000000000001</v>
      </c>
      <c r="I146" s="135">
        <v>0</v>
      </c>
      <c r="J146" s="136">
        <v>0</v>
      </c>
      <c r="K146" s="135">
        <v>0</v>
      </c>
      <c r="L146" s="136">
        <v>0</v>
      </c>
      <c r="M146" s="135">
        <v>0</v>
      </c>
      <c r="N146" s="136">
        <v>0</v>
      </c>
      <c r="O146" s="135">
        <v>12</v>
      </c>
      <c r="P146" s="136">
        <v>8.6572558584210508</v>
      </c>
      <c r="Q146" s="135">
        <v>0</v>
      </c>
      <c r="R146" s="136">
        <v>0</v>
      </c>
    </row>
    <row r="147" spans="1:18">
      <c r="A147" s="99" t="s">
        <v>95</v>
      </c>
      <c r="B147" s="94">
        <f t="shared" si="38"/>
        <v>1</v>
      </c>
      <c r="C147" s="95">
        <f t="shared" si="39"/>
        <v>3.8623397811321492</v>
      </c>
      <c r="D147" s="96">
        <f t="shared" si="40"/>
        <v>3.5802281257493007E-3</v>
      </c>
      <c r="F147" s="97" t="s">
        <v>95</v>
      </c>
      <c r="G147" s="135">
        <v>0</v>
      </c>
      <c r="H147" s="136">
        <v>0</v>
      </c>
      <c r="I147" s="135">
        <v>1</v>
      </c>
      <c r="J147" s="136">
        <v>2</v>
      </c>
      <c r="K147" s="135">
        <v>0</v>
      </c>
      <c r="L147" s="136">
        <v>0</v>
      </c>
      <c r="M147" s="135">
        <v>0</v>
      </c>
      <c r="N147" s="136">
        <v>0</v>
      </c>
      <c r="O147" s="135">
        <v>0</v>
      </c>
      <c r="P147" s="136">
        <v>1.8623397811321492</v>
      </c>
      <c r="Q147" s="135">
        <v>0</v>
      </c>
      <c r="R147" s="136">
        <v>0</v>
      </c>
    </row>
    <row r="148" spans="1:18">
      <c r="A148" s="99" t="s">
        <v>96</v>
      </c>
      <c r="B148" s="94">
        <f t="shared" si="38"/>
        <v>1</v>
      </c>
      <c r="C148" s="95">
        <f t="shared" si="39"/>
        <v>0.94676179000000005</v>
      </c>
      <c r="D148" s="96">
        <f t="shared" si="40"/>
        <v>8.7760875040081775E-4</v>
      </c>
      <c r="F148" s="97" t="s">
        <v>96</v>
      </c>
      <c r="G148" s="135">
        <v>0</v>
      </c>
      <c r="H148" s="136">
        <v>0</v>
      </c>
      <c r="I148" s="135">
        <v>0</v>
      </c>
      <c r="J148" s="136">
        <v>0</v>
      </c>
      <c r="K148" s="135">
        <v>0</v>
      </c>
      <c r="L148" s="136">
        <v>0</v>
      </c>
      <c r="M148" s="135">
        <v>0</v>
      </c>
      <c r="N148" s="136">
        <v>0</v>
      </c>
      <c r="O148" s="135">
        <v>1</v>
      </c>
      <c r="P148" s="136">
        <v>0.94676179000000005</v>
      </c>
      <c r="Q148" s="135">
        <v>0</v>
      </c>
      <c r="R148" s="136">
        <v>0</v>
      </c>
    </row>
    <row r="149" spans="1:18">
      <c r="A149" s="99" t="s">
        <v>97</v>
      </c>
      <c r="B149" s="94">
        <f t="shared" si="38"/>
        <v>1</v>
      </c>
      <c r="C149" s="95">
        <f t="shared" si="39"/>
        <v>0.43636890556597879</v>
      </c>
      <c r="D149" s="96">
        <f t="shared" si="40"/>
        <v>4.0449580239981071E-4</v>
      </c>
      <c r="F149" s="97" t="s">
        <v>97</v>
      </c>
      <c r="G149" s="135">
        <v>0</v>
      </c>
      <c r="H149" s="136">
        <v>0</v>
      </c>
      <c r="I149" s="135">
        <v>0</v>
      </c>
      <c r="J149" s="136">
        <v>0</v>
      </c>
      <c r="K149" s="135">
        <v>0</v>
      </c>
      <c r="L149" s="136">
        <v>0</v>
      </c>
      <c r="M149" s="135">
        <v>0</v>
      </c>
      <c r="N149" s="136">
        <v>0</v>
      </c>
      <c r="O149" s="135">
        <v>1</v>
      </c>
      <c r="P149" s="136">
        <v>0.43636890556597879</v>
      </c>
      <c r="Q149" s="135">
        <v>0</v>
      </c>
      <c r="R149" s="136">
        <v>0</v>
      </c>
    </row>
    <row r="150" spans="1:18">
      <c r="A150" s="99" t="s">
        <v>98</v>
      </c>
      <c r="B150" s="94">
        <f t="shared" si="38"/>
        <v>1</v>
      </c>
      <c r="C150" s="95">
        <f t="shared" si="39"/>
        <v>0.86646299999999987</v>
      </c>
      <c r="D150" s="96">
        <f t="shared" si="40"/>
        <v>8.0317511620166206E-4</v>
      </c>
      <c r="F150" s="97" t="s">
        <v>98</v>
      </c>
      <c r="G150" s="135">
        <v>0</v>
      </c>
      <c r="H150" s="136">
        <v>0</v>
      </c>
      <c r="I150" s="135">
        <v>0</v>
      </c>
      <c r="J150" s="136">
        <v>0</v>
      </c>
      <c r="K150" s="135">
        <v>0</v>
      </c>
      <c r="L150" s="136">
        <v>0</v>
      </c>
      <c r="M150" s="135">
        <v>0</v>
      </c>
      <c r="N150" s="136">
        <v>0</v>
      </c>
      <c r="O150" s="135">
        <v>1</v>
      </c>
      <c r="P150" s="136">
        <v>0.86646299999999987</v>
      </c>
      <c r="Q150" s="135">
        <v>0</v>
      </c>
      <c r="R150" s="136">
        <v>0</v>
      </c>
    </row>
    <row r="151" spans="1:18">
      <c r="A151" s="99" t="s">
        <v>99</v>
      </c>
      <c r="B151" s="94">
        <f t="shared" si="38"/>
        <v>28</v>
      </c>
      <c r="C151" s="95">
        <f t="shared" si="39"/>
        <v>499.07535577500249</v>
      </c>
      <c r="D151" s="96">
        <f t="shared" si="40"/>
        <v>0.46262207026494323</v>
      </c>
      <c r="F151" s="97" t="s">
        <v>99</v>
      </c>
      <c r="G151" s="135">
        <v>6</v>
      </c>
      <c r="H151" s="136">
        <v>480</v>
      </c>
      <c r="I151" s="135">
        <v>6</v>
      </c>
      <c r="J151" s="136">
        <v>8.4</v>
      </c>
      <c r="K151" s="135">
        <v>0</v>
      </c>
      <c r="L151" s="136">
        <v>0</v>
      </c>
      <c r="M151" s="135">
        <v>0</v>
      </c>
      <c r="N151" s="136">
        <v>0</v>
      </c>
      <c r="O151" s="135">
        <v>16</v>
      </c>
      <c r="P151" s="136">
        <v>10.675355775002503</v>
      </c>
      <c r="Q151" s="135">
        <v>0</v>
      </c>
      <c r="R151" s="136">
        <v>0</v>
      </c>
    </row>
    <row r="152" spans="1:18">
      <c r="A152" s="99" t="s">
        <v>100</v>
      </c>
      <c r="B152" s="94">
        <f t="shared" si="38"/>
        <v>30</v>
      </c>
      <c r="C152" s="95">
        <f t="shared" si="39"/>
        <v>290.63570835999997</v>
      </c>
      <c r="D152" s="96">
        <f t="shared" si="40"/>
        <v>0.26940719780809497</v>
      </c>
      <c r="F152" s="97" t="s">
        <v>100</v>
      </c>
      <c r="G152" s="135">
        <v>9</v>
      </c>
      <c r="H152" s="136">
        <v>279.15999999999997</v>
      </c>
      <c r="I152" s="135">
        <v>0</v>
      </c>
      <c r="J152" s="136">
        <v>0</v>
      </c>
      <c r="K152" s="135">
        <v>0</v>
      </c>
      <c r="L152" s="136">
        <v>0</v>
      </c>
      <c r="M152" s="135">
        <v>0</v>
      </c>
      <c r="N152" s="136">
        <v>0</v>
      </c>
      <c r="O152" s="135">
        <v>21</v>
      </c>
      <c r="P152" s="136">
        <v>11.47570836</v>
      </c>
      <c r="Q152" s="135">
        <v>0</v>
      </c>
      <c r="R152" s="136">
        <v>0</v>
      </c>
    </row>
    <row r="153" spans="1:18">
      <c r="A153" s="99" t="s">
        <v>101</v>
      </c>
      <c r="B153" s="94">
        <f t="shared" si="38"/>
        <v>13</v>
      </c>
      <c r="C153" s="95">
        <f t="shared" si="39"/>
        <v>152.73334012820513</v>
      </c>
      <c r="D153" s="96">
        <f t="shared" si="40"/>
        <v>0.14157744555201912</v>
      </c>
      <c r="F153" s="97" t="s">
        <v>101</v>
      </c>
      <c r="G153" s="135">
        <v>3</v>
      </c>
      <c r="H153" s="136">
        <v>112.10900000000001</v>
      </c>
      <c r="I153" s="135">
        <v>1</v>
      </c>
      <c r="J153" s="136">
        <v>31.04</v>
      </c>
      <c r="K153" s="135">
        <v>0</v>
      </c>
      <c r="L153" s="136">
        <v>0</v>
      </c>
      <c r="M153" s="135">
        <v>0</v>
      </c>
      <c r="N153" s="136">
        <v>0</v>
      </c>
      <c r="O153" s="135">
        <v>9</v>
      </c>
      <c r="P153" s="136">
        <v>9.5843401282051275</v>
      </c>
      <c r="Q153" s="135">
        <v>0</v>
      </c>
      <c r="R153" s="136">
        <v>0</v>
      </c>
    </row>
    <row r="154" spans="1:18">
      <c r="A154" s="84" t="s">
        <v>23</v>
      </c>
      <c r="B154" s="85">
        <f>B155+B167</f>
        <v>339</v>
      </c>
      <c r="C154" s="86">
        <f>C155+C167</f>
        <v>4727.5769396963096</v>
      </c>
      <c r="D154" s="87">
        <f>D155+D167</f>
        <v>1</v>
      </c>
      <c r="F154" s="84" t="s">
        <v>23</v>
      </c>
      <c r="G154" s="85">
        <f>SUM(G155:G166)</f>
        <v>64</v>
      </c>
      <c r="H154" s="86">
        <f t="shared" ref="H154:R154" si="41">SUM(H155:H166)</f>
        <v>4526.7199959811387</v>
      </c>
      <c r="I154" s="85">
        <f t="shared" si="41"/>
        <v>1</v>
      </c>
      <c r="J154" s="86">
        <f t="shared" si="41"/>
        <v>2.5</v>
      </c>
      <c r="K154" s="85">
        <f t="shared" si="41"/>
        <v>0</v>
      </c>
      <c r="L154" s="86">
        <f t="shared" si="41"/>
        <v>0</v>
      </c>
      <c r="M154" s="85">
        <f t="shared" si="41"/>
        <v>0</v>
      </c>
      <c r="N154" s="86">
        <f t="shared" si="41"/>
        <v>0</v>
      </c>
      <c r="O154" s="85">
        <f t="shared" si="41"/>
        <v>41</v>
      </c>
      <c r="P154" s="86">
        <f t="shared" si="41"/>
        <v>39.482053676713278</v>
      </c>
      <c r="Q154" s="85">
        <f t="shared" si="41"/>
        <v>233</v>
      </c>
      <c r="R154" s="86">
        <f t="shared" si="41"/>
        <v>158.87489003845781</v>
      </c>
    </row>
    <row r="155" spans="1:18">
      <c r="A155" s="88" t="s">
        <v>90</v>
      </c>
      <c r="B155" s="89">
        <f>SUM(B156:B166)</f>
        <v>106</v>
      </c>
      <c r="C155" s="90">
        <f>SUM(C156:C166)</f>
        <v>4568.7020496578516</v>
      </c>
      <c r="D155" s="91">
        <f>SUM(D156:D166)</f>
        <v>0.96639401281776627</v>
      </c>
      <c r="F155" s="92"/>
      <c r="G155" s="89"/>
      <c r="H155" s="90"/>
      <c r="I155" s="89"/>
      <c r="J155" s="90"/>
      <c r="K155" s="89"/>
      <c r="L155" s="90"/>
      <c r="M155" s="89"/>
      <c r="N155" s="90"/>
      <c r="O155" s="89"/>
      <c r="P155" s="90"/>
      <c r="Q155" s="89"/>
      <c r="R155" s="90"/>
    </row>
    <row r="156" spans="1:18">
      <c r="A156" s="93" t="s">
        <v>91</v>
      </c>
      <c r="B156" s="94">
        <f t="shared" ref="B156:B166" si="42">G156+I156+K156+M156+O156</f>
        <v>1</v>
      </c>
      <c r="C156" s="95">
        <f t="shared" ref="C156:C166" si="43">H156+J156+L156+N156+P156</f>
        <v>1.8775197399358086</v>
      </c>
      <c r="D156" s="100">
        <f>C156/$C$154</f>
        <v>3.971420801575398E-4</v>
      </c>
      <c r="F156" s="97" t="s">
        <v>91</v>
      </c>
      <c r="G156" s="135">
        <v>0</v>
      </c>
      <c r="H156" s="136">
        <v>0</v>
      </c>
      <c r="I156" s="135">
        <v>0</v>
      </c>
      <c r="J156" s="136">
        <v>0</v>
      </c>
      <c r="K156" s="135">
        <v>0</v>
      </c>
      <c r="L156" s="136">
        <v>0</v>
      </c>
      <c r="M156" s="135">
        <v>0</v>
      </c>
      <c r="N156" s="136">
        <v>0</v>
      </c>
      <c r="O156" s="135">
        <v>1</v>
      </c>
      <c r="P156" s="136">
        <v>1.8775197399358086</v>
      </c>
      <c r="Q156" s="135">
        <v>0</v>
      </c>
      <c r="R156" s="136">
        <v>0</v>
      </c>
    </row>
    <row r="157" spans="1:18">
      <c r="A157" s="93" t="s">
        <v>92</v>
      </c>
      <c r="B157" s="94">
        <f t="shared" si="42"/>
        <v>5</v>
      </c>
      <c r="C157" s="95">
        <f t="shared" si="43"/>
        <v>74.399667230000006</v>
      </c>
      <c r="D157" s="100">
        <f>C157/$C$154</f>
        <v>1.5737378403148591E-2</v>
      </c>
      <c r="F157" s="97" t="s">
        <v>92</v>
      </c>
      <c r="G157" s="135">
        <v>2</v>
      </c>
      <c r="H157" s="136">
        <v>71.977445230000001</v>
      </c>
      <c r="I157" s="135">
        <v>0</v>
      </c>
      <c r="J157" s="136">
        <v>0</v>
      </c>
      <c r="K157" s="135">
        <v>0</v>
      </c>
      <c r="L157" s="136">
        <v>0</v>
      </c>
      <c r="M157" s="135">
        <v>0</v>
      </c>
      <c r="N157" s="136">
        <v>0</v>
      </c>
      <c r="O157" s="135">
        <v>3</v>
      </c>
      <c r="P157" s="136">
        <v>2.4222220000000001</v>
      </c>
      <c r="Q157" s="135">
        <v>0</v>
      </c>
      <c r="R157" s="136">
        <v>0</v>
      </c>
    </row>
    <row r="158" spans="1:18">
      <c r="A158" s="93" t="s">
        <v>93</v>
      </c>
      <c r="B158" s="94">
        <f t="shared" si="42"/>
        <v>8</v>
      </c>
      <c r="C158" s="95">
        <f t="shared" si="43"/>
        <v>232.79753917925117</v>
      </c>
      <c r="D158" s="100">
        <f>C158/$C$154</f>
        <v>4.9242464405921574E-2</v>
      </c>
      <c r="F158" s="97" t="s">
        <v>93</v>
      </c>
      <c r="G158" s="135">
        <v>4</v>
      </c>
      <c r="H158" s="136">
        <v>228.29450675974499</v>
      </c>
      <c r="I158" s="135">
        <v>0</v>
      </c>
      <c r="J158" s="136">
        <v>0</v>
      </c>
      <c r="K158" s="135">
        <v>0</v>
      </c>
      <c r="L158" s="136">
        <v>0</v>
      </c>
      <c r="M158" s="135">
        <v>0</v>
      </c>
      <c r="N158" s="136">
        <v>0</v>
      </c>
      <c r="O158" s="135">
        <v>4</v>
      </c>
      <c r="P158" s="136">
        <v>4.5030324195061953</v>
      </c>
      <c r="Q158" s="135">
        <v>0</v>
      </c>
      <c r="R158" s="136">
        <v>0</v>
      </c>
    </row>
    <row r="159" spans="1:18">
      <c r="A159" s="93" t="s">
        <v>94</v>
      </c>
      <c r="B159" s="94">
        <f t="shared" si="42"/>
        <v>17</v>
      </c>
      <c r="C159" s="95">
        <f t="shared" si="43"/>
        <v>493.62083335981424</v>
      </c>
      <c r="D159" s="100">
        <f>C159/$C$154</f>
        <v>0.104413072416654</v>
      </c>
      <c r="F159" s="97" t="s">
        <v>94</v>
      </c>
      <c r="G159" s="135">
        <v>12</v>
      </c>
      <c r="H159" s="136">
        <v>487.78956399139321</v>
      </c>
      <c r="I159" s="135">
        <v>0</v>
      </c>
      <c r="J159" s="136">
        <v>0</v>
      </c>
      <c r="K159" s="135">
        <v>0</v>
      </c>
      <c r="L159" s="136">
        <v>0</v>
      </c>
      <c r="M159" s="135">
        <v>0</v>
      </c>
      <c r="N159" s="136">
        <v>0</v>
      </c>
      <c r="O159" s="135">
        <v>5</v>
      </c>
      <c r="P159" s="136">
        <v>5.8312693684210517</v>
      </c>
      <c r="Q159" s="135">
        <v>157</v>
      </c>
      <c r="R159" s="136">
        <v>98.648791094228898</v>
      </c>
    </row>
    <row r="160" spans="1:18">
      <c r="A160" s="93" t="s">
        <v>95</v>
      </c>
      <c r="B160" s="94">
        <f t="shared" si="42"/>
        <v>5</v>
      </c>
      <c r="C160" s="95">
        <f t="shared" si="43"/>
        <v>26.838677029374448</v>
      </c>
      <c r="D160" s="96">
        <f>C160/$C$154</f>
        <v>5.6770471156199764E-3</v>
      </c>
      <c r="F160" s="97" t="s">
        <v>95</v>
      </c>
      <c r="G160" s="135">
        <v>3</v>
      </c>
      <c r="H160" s="136">
        <v>21.524991759999999</v>
      </c>
      <c r="I160" s="135">
        <v>1</v>
      </c>
      <c r="J160" s="136">
        <v>2.5</v>
      </c>
      <c r="K160" s="135">
        <v>0</v>
      </c>
      <c r="L160" s="136">
        <v>0</v>
      </c>
      <c r="M160" s="135">
        <v>0</v>
      </c>
      <c r="N160" s="136">
        <v>0</v>
      </c>
      <c r="O160" s="135">
        <v>1</v>
      </c>
      <c r="P160" s="136">
        <v>2.8136852693744498</v>
      </c>
      <c r="Q160" s="135">
        <v>0</v>
      </c>
      <c r="R160" s="136">
        <v>0</v>
      </c>
    </row>
    <row r="161" spans="1:18">
      <c r="A161" s="93" t="s">
        <v>106</v>
      </c>
      <c r="B161" s="94">
        <f t="shared" si="42"/>
        <v>2</v>
      </c>
      <c r="C161" s="95">
        <f t="shared" si="43"/>
        <v>1.3814608000000004</v>
      </c>
      <c r="D161" s="96">
        <f t="shared" ref="D161:D166" si="44">C161/$C$154</f>
        <v>2.922132876146787E-4</v>
      </c>
      <c r="F161" s="97" t="s">
        <v>96</v>
      </c>
      <c r="G161" s="135">
        <v>0</v>
      </c>
      <c r="H161" s="136">
        <v>0</v>
      </c>
      <c r="I161" s="135">
        <v>0</v>
      </c>
      <c r="J161" s="136">
        <v>0</v>
      </c>
      <c r="K161" s="135">
        <v>0</v>
      </c>
      <c r="L161" s="136">
        <v>0</v>
      </c>
      <c r="M161" s="135">
        <v>0</v>
      </c>
      <c r="N161" s="136">
        <v>0</v>
      </c>
      <c r="O161" s="135">
        <v>2</v>
      </c>
      <c r="P161" s="136">
        <v>1.3814608000000004</v>
      </c>
      <c r="Q161" s="135">
        <v>76</v>
      </c>
      <c r="R161" s="136">
        <v>60.226098944228895</v>
      </c>
    </row>
    <row r="162" spans="1:18">
      <c r="A162" s="93" t="s">
        <v>97</v>
      </c>
      <c r="B162" s="94">
        <f t="shared" si="42"/>
        <v>0</v>
      </c>
      <c r="C162" s="95">
        <f t="shared" si="43"/>
        <v>0.36567745102052424</v>
      </c>
      <c r="D162" s="96">
        <f t="shared" si="44"/>
        <v>7.7349867740918177E-5</v>
      </c>
      <c r="F162" s="97" t="s">
        <v>97</v>
      </c>
      <c r="G162" s="135">
        <v>0</v>
      </c>
      <c r="H162" s="136">
        <v>0</v>
      </c>
      <c r="I162" s="135">
        <v>0</v>
      </c>
      <c r="J162" s="136">
        <v>0</v>
      </c>
      <c r="K162" s="135">
        <v>0</v>
      </c>
      <c r="L162" s="136">
        <v>0</v>
      </c>
      <c r="M162" s="135">
        <v>0</v>
      </c>
      <c r="N162" s="136">
        <v>0</v>
      </c>
      <c r="O162" s="135">
        <v>0</v>
      </c>
      <c r="P162" s="136">
        <v>0.36567745102052424</v>
      </c>
      <c r="Q162" s="135">
        <v>0</v>
      </c>
      <c r="R162" s="136">
        <v>0</v>
      </c>
    </row>
    <row r="163" spans="1:18">
      <c r="A163" s="93" t="s">
        <v>98</v>
      </c>
      <c r="B163" s="94">
        <f t="shared" si="42"/>
        <v>4</v>
      </c>
      <c r="C163" s="95">
        <f t="shared" si="43"/>
        <v>149.08903499000002</v>
      </c>
      <c r="D163" s="96">
        <f t="shared" si="44"/>
        <v>3.1536035667264511E-2</v>
      </c>
      <c r="F163" s="97" t="s">
        <v>98</v>
      </c>
      <c r="G163" s="135">
        <v>3</v>
      </c>
      <c r="H163" s="136">
        <v>148.69264299000002</v>
      </c>
      <c r="I163" s="135">
        <v>0</v>
      </c>
      <c r="J163" s="136">
        <v>0</v>
      </c>
      <c r="K163" s="135">
        <v>0</v>
      </c>
      <c r="L163" s="136">
        <v>0</v>
      </c>
      <c r="M163" s="135">
        <v>0</v>
      </c>
      <c r="N163" s="136">
        <v>0</v>
      </c>
      <c r="O163" s="135">
        <v>1</v>
      </c>
      <c r="P163" s="136">
        <v>0.39639200000000002</v>
      </c>
      <c r="Q163" s="135">
        <v>0</v>
      </c>
      <c r="R163" s="136">
        <v>0</v>
      </c>
    </row>
    <row r="164" spans="1:18">
      <c r="A164" s="93" t="s">
        <v>99</v>
      </c>
      <c r="B164" s="94">
        <f t="shared" si="42"/>
        <v>13</v>
      </c>
      <c r="C164" s="95">
        <f t="shared" si="43"/>
        <v>760.30577311025024</v>
      </c>
      <c r="D164" s="96">
        <f t="shared" si="44"/>
        <v>0.16082356412354673</v>
      </c>
      <c r="F164" s="97" t="s">
        <v>99</v>
      </c>
      <c r="G164" s="135">
        <v>10</v>
      </c>
      <c r="H164" s="136">
        <v>757.22653961000015</v>
      </c>
      <c r="I164" s="135">
        <v>0</v>
      </c>
      <c r="J164" s="136">
        <v>0</v>
      </c>
      <c r="K164" s="135">
        <v>0</v>
      </c>
      <c r="L164" s="136">
        <v>0</v>
      </c>
      <c r="M164" s="135">
        <v>0</v>
      </c>
      <c r="N164" s="136">
        <v>0</v>
      </c>
      <c r="O164" s="135">
        <v>3</v>
      </c>
      <c r="P164" s="136">
        <v>3.0792335002501252</v>
      </c>
      <c r="Q164" s="135">
        <v>0</v>
      </c>
      <c r="R164" s="136">
        <v>0</v>
      </c>
    </row>
    <row r="165" spans="1:18">
      <c r="A165" s="93" t="s">
        <v>100</v>
      </c>
      <c r="B165" s="94">
        <f t="shared" si="42"/>
        <v>29</v>
      </c>
      <c r="C165" s="95">
        <f t="shared" si="43"/>
        <v>1933.0463572299996</v>
      </c>
      <c r="D165" s="96">
        <f t="shared" si="44"/>
        <v>0.40888733951608086</v>
      </c>
      <c r="F165" s="97" t="s">
        <v>100</v>
      </c>
      <c r="G165" s="135">
        <v>15</v>
      </c>
      <c r="H165" s="136">
        <v>1924.7428572299996</v>
      </c>
      <c r="I165" s="135">
        <v>0</v>
      </c>
      <c r="J165" s="136">
        <v>0</v>
      </c>
      <c r="K165" s="135">
        <v>0</v>
      </c>
      <c r="L165" s="136">
        <v>0</v>
      </c>
      <c r="M165" s="135">
        <v>0</v>
      </c>
      <c r="N165" s="136">
        <v>0</v>
      </c>
      <c r="O165" s="135">
        <v>14</v>
      </c>
      <c r="P165" s="136">
        <v>8.3034999999999997</v>
      </c>
      <c r="Q165" s="135">
        <v>0</v>
      </c>
      <c r="R165" s="136">
        <v>0</v>
      </c>
    </row>
    <row r="166" spans="1:18">
      <c r="A166" s="93" t="s">
        <v>101</v>
      </c>
      <c r="B166" s="94">
        <f t="shared" si="42"/>
        <v>22</v>
      </c>
      <c r="C166" s="95">
        <f t="shared" si="43"/>
        <v>894.97950953820521</v>
      </c>
      <c r="D166" s="96">
        <f t="shared" si="44"/>
        <v>0.1893104059340168</v>
      </c>
      <c r="F166" s="97" t="s">
        <v>101</v>
      </c>
      <c r="G166" s="135">
        <v>15</v>
      </c>
      <c r="H166" s="136">
        <v>886.47144841000011</v>
      </c>
      <c r="I166" s="135">
        <v>0</v>
      </c>
      <c r="J166" s="136">
        <v>0</v>
      </c>
      <c r="K166" s="135">
        <v>0</v>
      </c>
      <c r="L166" s="136">
        <v>0</v>
      </c>
      <c r="M166" s="135">
        <v>0</v>
      </c>
      <c r="N166" s="136">
        <v>0</v>
      </c>
      <c r="O166" s="135">
        <v>7</v>
      </c>
      <c r="P166" s="136">
        <v>8.5080611282051262</v>
      </c>
      <c r="Q166" s="135">
        <v>0</v>
      </c>
      <c r="R166" s="136">
        <v>0</v>
      </c>
    </row>
    <row r="167" spans="1:18" ht="17.25">
      <c r="A167" s="104" t="s">
        <v>103</v>
      </c>
      <c r="B167" s="89">
        <f>SUM(B168:B169)</f>
        <v>233</v>
      </c>
      <c r="C167" s="90">
        <f>SUM(C168:C169)</f>
        <v>158.87489003845781</v>
      </c>
      <c r="D167" s="91">
        <f>SUM(D168:D169)</f>
        <v>3.3605987182233697E-2</v>
      </c>
      <c r="E167" s="123"/>
      <c r="F167" s="97"/>
      <c r="G167" s="135"/>
      <c r="H167" s="136"/>
      <c r="I167" s="135"/>
      <c r="J167" s="136"/>
      <c r="K167" s="135"/>
      <c r="L167" s="136"/>
      <c r="M167" s="135"/>
      <c r="N167" s="136"/>
      <c r="O167" s="135"/>
      <c r="P167" s="136"/>
      <c r="Q167" s="135"/>
      <c r="R167" s="136"/>
    </row>
    <row r="168" spans="1:18">
      <c r="A168" s="93" t="s">
        <v>94</v>
      </c>
      <c r="B168" s="94">
        <f>Q159</f>
        <v>157</v>
      </c>
      <c r="C168" s="95">
        <f>R159</f>
        <v>98.648791094228898</v>
      </c>
      <c r="D168" s="100">
        <f>C168/$C$154</f>
        <v>2.0866670675605315E-2</v>
      </c>
      <c r="F168" s="97"/>
      <c r="G168" s="135"/>
      <c r="H168" s="136"/>
      <c r="I168" s="135"/>
      <c r="J168" s="136"/>
      <c r="K168" s="135"/>
      <c r="L168" s="136"/>
      <c r="M168" s="135"/>
      <c r="N168" s="136"/>
      <c r="O168" s="135"/>
      <c r="P168" s="136"/>
      <c r="Q168" s="135"/>
      <c r="R168" s="136"/>
    </row>
    <row r="169" spans="1:18">
      <c r="A169" s="93" t="s">
        <v>96</v>
      </c>
      <c r="B169" s="94">
        <f>Q161</f>
        <v>76</v>
      </c>
      <c r="C169" s="95">
        <f>R161</f>
        <v>60.226098944228895</v>
      </c>
      <c r="D169" s="100">
        <f>C169/$C$154</f>
        <v>1.2739316506628384E-2</v>
      </c>
      <c r="F169" s="97"/>
      <c r="G169" s="135"/>
      <c r="H169" s="136"/>
      <c r="I169" s="135"/>
      <c r="J169" s="136"/>
      <c r="K169" s="135"/>
      <c r="L169" s="136"/>
      <c r="M169" s="135"/>
      <c r="N169" s="136"/>
      <c r="O169" s="135"/>
      <c r="P169" s="136"/>
      <c r="Q169" s="135"/>
      <c r="R169" s="136"/>
    </row>
    <row r="170" spans="1:18">
      <c r="A170" s="84" t="s">
        <v>107</v>
      </c>
      <c r="B170" s="85">
        <f>SUM(B171:B172)</f>
        <v>5</v>
      </c>
      <c r="C170" s="86">
        <f>SUM(C171:C172)</f>
        <v>101.5</v>
      </c>
      <c r="D170" s="87">
        <f>SUM(D171:D172)</f>
        <v>1</v>
      </c>
      <c r="F170" s="84" t="s">
        <v>107</v>
      </c>
      <c r="G170" s="85">
        <f>SUM(G171:G172)</f>
        <v>5</v>
      </c>
      <c r="H170" s="86">
        <f t="shared" ref="H170:R170" si="45">SUM(H171:H172)</f>
        <v>101.5</v>
      </c>
      <c r="I170" s="85">
        <f t="shared" si="45"/>
        <v>0</v>
      </c>
      <c r="J170" s="86">
        <f t="shared" si="45"/>
        <v>0</v>
      </c>
      <c r="K170" s="85">
        <f t="shared" si="45"/>
        <v>0</v>
      </c>
      <c r="L170" s="86">
        <f t="shared" si="45"/>
        <v>0</v>
      </c>
      <c r="M170" s="85">
        <f t="shared" si="45"/>
        <v>0</v>
      </c>
      <c r="N170" s="86">
        <f t="shared" si="45"/>
        <v>0</v>
      </c>
      <c r="O170" s="85">
        <f t="shared" si="45"/>
        <v>0</v>
      </c>
      <c r="P170" s="86">
        <f t="shared" si="45"/>
        <v>0</v>
      </c>
      <c r="Q170" s="85">
        <f t="shared" si="45"/>
        <v>0</v>
      </c>
      <c r="R170" s="86">
        <f t="shared" si="45"/>
        <v>0</v>
      </c>
    </row>
    <row r="171" spans="1:18">
      <c r="A171" s="97" t="s">
        <v>95</v>
      </c>
      <c r="B171" s="94">
        <f>G171+I171+K171+M171+O171</f>
        <v>1</v>
      </c>
      <c r="C171" s="95">
        <f>H171+J171+L171+N171+P171</f>
        <v>19.5</v>
      </c>
      <c r="D171" s="96">
        <f>C171/$C$170</f>
        <v>0.19211822660098521</v>
      </c>
      <c r="F171" s="97" t="s">
        <v>95</v>
      </c>
      <c r="G171" s="135">
        <v>1</v>
      </c>
      <c r="H171" s="136">
        <v>19.5</v>
      </c>
      <c r="I171" s="135">
        <v>0</v>
      </c>
      <c r="J171" s="136">
        <v>0</v>
      </c>
      <c r="K171" s="135">
        <v>0</v>
      </c>
      <c r="L171" s="136">
        <v>0</v>
      </c>
      <c r="M171" s="135">
        <v>0</v>
      </c>
      <c r="N171" s="136">
        <v>0</v>
      </c>
      <c r="O171" s="135">
        <v>0</v>
      </c>
      <c r="P171" s="136">
        <v>0</v>
      </c>
      <c r="Q171" s="135">
        <v>0</v>
      </c>
      <c r="R171" s="136">
        <v>0</v>
      </c>
    </row>
    <row r="172" spans="1:18">
      <c r="A172" s="97" t="s">
        <v>101</v>
      </c>
      <c r="B172" s="94">
        <f>G172+I172+K172+M172+O172</f>
        <v>4</v>
      </c>
      <c r="C172" s="95">
        <f>H172+J172+L172+N172+P172</f>
        <v>82</v>
      </c>
      <c r="D172" s="96">
        <f>C172/$C$170</f>
        <v>0.80788177339901479</v>
      </c>
      <c r="F172" s="97" t="s">
        <v>101</v>
      </c>
      <c r="G172" s="135">
        <v>4</v>
      </c>
      <c r="H172" s="136">
        <v>82</v>
      </c>
      <c r="I172" s="135">
        <v>0</v>
      </c>
      <c r="J172" s="136">
        <v>0</v>
      </c>
      <c r="K172" s="135">
        <v>0</v>
      </c>
      <c r="L172" s="136">
        <v>0</v>
      </c>
      <c r="M172" s="135">
        <v>0</v>
      </c>
      <c r="N172" s="136">
        <v>0</v>
      </c>
      <c r="O172" s="135">
        <v>0</v>
      </c>
      <c r="P172" s="136">
        <v>0</v>
      </c>
      <c r="Q172" s="135">
        <v>0</v>
      </c>
      <c r="R172" s="136">
        <v>0</v>
      </c>
    </row>
    <row r="173" spans="1:18">
      <c r="A173" s="84" t="s">
        <v>25</v>
      </c>
      <c r="B173" s="85">
        <f>B174+B186</f>
        <v>2233</v>
      </c>
      <c r="C173" s="86">
        <f>C174+C186</f>
        <v>60604.391179537837</v>
      </c>
      <c r="D173" s="87">
        <f>D174+D186</f>
        <v>0.99999999999999989</v>
      </c>
      <c r="F173" s="84" t="s">
        <v>25</v>
      </c>
      <c r="G173" s="85">
        <f>SUM(G175:G185)</f>
        <v>357</v>
      </c>
      <c r="H173" s="86">
        <f t="shared" ref="H173:R173" si="46">SUM(H175:H185)</f>
        <v>58436.149611964443</v>
      </c>
      <c r="I173" s="85">
        <f t="shared" si="46"/>
        <v>24</v>
      </c>
      <c r="J173" s="86">
        <f t="shared" si="46"/>
        <v>225.005</v>
      </c>
      <c r="K173" s="85">
        <f t="shared" si="46"/>
        <v>20</v>
      </c>
      <c r="L173" s="86">
        <f t="shared" si="46"/>
        <v>574.75816519884859</v>
      </c>
      <c r="M173" s="85">
        <f t="shared" si="46"/>
        <v>2</v>
      </c>
      <c r="N173" s="86">
        <f t="shared" si="46"/>
        <v>12.339922849999999</v>
      </c>
      <c r="O173" s="85">
        <f t="shared" si="46"/>
        <v>452</v>
      </c>
      <c r="P173" s="86">
        <f t="shared" si="46"/>
        <v>448.19611151267355</v>
      </c>
      <c r="Q173" s="85">
        <f t="shared" si="46"/>
        <v>1378</v>
      </c>
      <c r="R173" s="86">
        <f t="shared" si="46"/>
        <v>907.94236801185707</v>
      </c>
    </row>
    <row r="174" spans="1:18">
      <c r="A174" s="88" t="s">
        <v>90</v>
      </c>
      <c r="B174" s="89">
        <f>SUM(B175:B185)</f>
        <v>855</v>
      </c>
      <c r="C174" s="90">
        <f>SUM(C175:C185)</f>
        <v>59696.448811525981</v>
      </c>
      <c r="D174" s="91">
        <f>SUM(D175:D185)</f>
        <v>0.9850185382553861</v>
      </c>
      <c r="F174" s="92"/>
      <c r="G174" s="89"/>
      <c r="H174" s="90"/>
      <c r="I174" s="89"/>
      <c r="J174" s="90"/>
      <c r="K174" s="89"/>
      <c r="L174" s="90"/>
      <c r="M174" s="89"/>
      <c r="N174" s="90"/>
      <c r="O174" s="89"/>
      <c r="P174" s="90"/>
      <c r="Q174" s="89"/>
      <c r="R174" s="90"/>
    </row>
    <row r="175" spans="1:18">
      <c r="A175" s="93" t="s">
        <v>91</v>
      </c>
      <c r="B175" s="94">
        <f t="shared" ref="B175:B185" si="47">G175+I175+K175+M175+O175</f>
        <v>63</v>
      </c>
      <c r="C175" s="95">
        <f t="shared" ref="C175:C185" si="48">H175+J175+L175+N175+P175</f>
        <v>2153.1344101111717</v>
      </c>
      <c r="D175" s="96">
        <f>C175/$C$173</f>
        <v>3.5527696396332173E-2</v>
      </c>
      <c r="F175" s="97" t="s">
        <v>91</v>
      </c>
      <c r="G175" s="135">
        <v>21</v>
      </c>
      <c r="H175" s="136">
        <v>2056.00810766</v>
      </c>
      <c r="I175" s="135">
        <v>5</v>
      </c>
      <c r="J175" s="136">
        <v>15.5</v>
      </c>
      <c r="K175" s="135">
        <v>2</v>
      </c>
      <c r="L175" s="136">
        <v>40.400969451172017</v>
      </c>
      <c r="M175" s="135">
        <v>0</v>
      </c>
      <c r="N175" s="136">
        <v>0</v>
      </c>
      <c r="O175" s="135">
        <v>35</v>
      </c>
      <c r="P175" s="136">
        <v>41.225333000000006</v>
      </c>
      <c r="Q175" s="135">
        <v>0</v>
      </c>
      <c r="R175" s="136">
        <v>0</v>
      </c>
    </row>
    <row r="176" spans="1:18">
      <c r="A176" s="93" t="s">
        <v>92</v>
      </c>
      <c r="B176" s="94">
        <f t="shared" si="47"/>
        <v>20</v>
      </c>
      <c r="C176" s="95">
        <f t="shared" si="48"/>
        <v>645.94500000000005</v>
      </c>
      <c r="D176" s="96">
        <f t="shared" ref="D176:D188" si="49">C176/$C$173</f>
        <v>1.06583860909751E-2</v>
      </c>
      <c r="F176" s="97" t="s">
        <v>92</v>
      </c>
      <c r="G176" s="135">
        <v>6</v>
      </c>
      <c r="H176" s="136">
        <v>627</v>
      </c>
      <c r="I176" s="135">
        <v>0</v>
      </c>
      <c r="J176" s="136">
        <v>0</v>
      </c>
      <c r="K176" s="135">
        <v>1</v>
      </c>
      <c r="L176" s="136">
        <v>2</v>
      </c>
      <c r="M176" s="135">
        <v>0</v>
      </c>
      <c r="N176" s="136">
        <v>0</v>
      </c>
      <c r="O176" s="135">
        <v>13</v>
      </c>
      <c r="P176" s="136">
        <v>16.945</v>
      </c>
      <c r="Q176" s="135">
        <v>0</v>
      </c>
      <c r="R176" s="136">
        <v>0</v>
      </c>
    </row>
    <row r="177" spans="1:18">
      <c r="A177" s="93" t="s">
        <v>93</v>
      </c>
      <c r="B177" s="94">
        <f t="shared" si="47"/>
        <v>214</v>
      </c>
      <c r="C177" s="95">
        <f t="shared" si="48"/>
        <v>14958.786447763838</v>
      </c>
      <c r="D177" s="96">
        <f t="shared" si="49"/>
        <v>0.24682677536433115</v>
      </c>
      <c r="F177" s="97" t="s">
        <v>93</v>
      </c>
      <c r="G177" s="135">
        <v>104</v>
      </c>
      <c r="H177" s="136">
        <v>14692.896121771604</v>
      </c>
      <c r="I177" s="135">
        <v>4</v>
      </c>
      <c r="J177" s="136">
        <v>20</v>
      </c>
      <c r="K177" s="135">
        <v>6</v>
      </c>
      <c r="L177" s="136">
        <v>172.00000729999999</v>
      </c>
      <c r="M177" s="135">
        <v>0</v>
      </c>
      <c r="N177" s="136">
        <v>0</v>
      </c>
      <c r="O177" s="135">
        <v>100</v>
      </c>
      <c r="P177" s="136">
        <v>73.890318692233492</v>
      </c>
      <c r="Q177" s="135">
        <v>0</v>
      </c>
      <c r="R177" s="136">
        <v>0</v>
      </c>
    </row>
    <row r="178" spans="1:18">
      <c r="A178" s="93" t="s">
        <v>94</v>
      </c>
      <c r="B178" s="94">
        <f t="shared" si="47"/>
        <v>92</v>
      </c>
      <c r="C178" s="95">
        <f t="shared" si="48"/>
        <v>6188.5909047560981</v>
      </c>
      <c r="D178" s="96">
        <f t="shared" si="49"/>
        <v>0.1021145627290054</v>
      </c>
      <c r="F178" s="97" t="s">
        <v>94</v>
      </c>
      <c r="G178" s="135">
        <v>40</v>
      </c>
      <c r="H178" s="136">
        <v>5825.5690513600002</v>
      </c>
      <c r="I178" s="135">
        <v>0</v>
      </c>
      <c r="J178" s="136">
        <v>0</v>
      </c>
      <c r="K178" s="135">
        <v>9</v>
      </c>
      <c r="L178" s="136">
        <v>316.13934217767655</v>
      </c>
      <c r="M178" s="135">
        <v>2</v>
      </c>
      <c r="N178" s="136">
        <v>12.339922849999999</v>
      </c>
      <c r="O178" s="135">
        <v>41</v>
      </c>
      <c r="P178" s="136">
        <v>34.542588368421058</v>
      </c>
      <c r="Q178" s="135">
        <v>1200</v>
      </c>
      <c r="R178" s="136">
        <v>889.85804546185705</v>
      </c>
    </row>
    <row r="179" spans="1:18">
      <c r="A179" s="93" t="s">
        <v>95</v>
      </c>
      <c r="B179" s="94">
        <f t="shared" si="47"/>
        <v>20</v>
      </c>
      <c r="C179" s="95">
        <f t="shared" si="48"/>
        <v>2160.3134831193893</v>
      </c>
      <c r="D179" s="96">
        <f t="shared" si="49"/>
        <v>3.5646154363956163E-2</v>
      </c>
      <c r="F179" s="97" t="s">
        <v>95</v>
      </c>
      <c r="G179" s="135">
        <v>7</v>
      </c>
      <c r="H179" s="136">
        <v>2130.266666204393</v>
      </c>
      <c r="I179" s="135">
        <v>1</v>
      </c>
      <c r="J179" s="136">
        <v>3</v>
      </c>
      <c r="K179" s="135">
        <v>0</v>
      </c>
      <c r="L179" s="136">
        <v>0</v>
      </c>
      <c r="M179" s="135">
        <v>0</v>
      </c>
      <c r="N179" s="136">
        <v>0</v>
      </c>
      <c r="O179" s="135">
        <v>12</v>
      </c>
      <c r="P179" s="136">
        <v>27.046816914996249</v>
      </c>
      <c r="Q179" s="135">
        <v>0</v>
      </c>
      <c r="R179" s="136">
        <v>0</v>
      </c>
    </row>
    <row r="180" spans="1:18">
      <c r="A180" s="93" t="s">
        <v>96</v>
      </c>
      <c r="B180" s="94">
        <f t="shared" si="47"/>
        <v>21</v>
      </c>
      <c r="C180" s="95">
        <f t="shared" si="48"/>
        <v>766.95694468000011</v>
      </c>
      <c r="D180" s="96">
        <f t="shared" si="49"/>
        <v>1.2655138179804891E-2</v>
      </c>
      <c r="F180" s="97" t="s">
        <v>96</v>
      </c>
      <c r="G180" s="135">
        <v>8</v>
      </c>
      <c r="H180" s="136">
        <v>749.60164168000006</v>
      </c>
      <c r="I180" s="135">
        <v>2</v>
      </c>
      <c r="J180" s="136">
        <v>8</v>
      </c>
      <c r="K180" s="135">
        <v>0</v>
      </c>
      <c r="L180" s="136">
        <v>0</v>
      </c>
      <c r="M180" s="135">
        <v>0</v>
      </c>
      <c r="N180" s="136">
        <v>0</v>
      </c>
      <c r="O180" s="135">
        <v>11</v>
      </c>
      <c r="P180" s="136">
        <v>9.3553029999999993</v>
      </c>
      <c r="Q180" s="135">
        <v>178</v>
      </c>
      <c r="R180" s="136">
        <v>18.084322550000003</v>
      </c>
    </row>
    <row r="181" spans="1:18">
      <c r="A181" s="93" t="s">
        <v>97</v>
      </c>
      <c r="B181" s="94">
        <f t="shared" si="47"/>
        <v>3</v>
      </c>
      <c r="C181" s="95">
        <f t="shared" si="48"/>
        <v>151.16146890556598</v>
      </c>
      <c r="D181" s="96">
        <f t="shared" si="49"/>
        <v>2.4942329419291877E-3</v>
      </c>
      <c r="F181" s="97" t="s">
        <v>97</v>
      </c>
      <c r="G181" s="135">
        <v>1</v>
      </c>
      <c r="H181" s="136">
        <v>150</v>
      </c>
      <c r="I181" s="135">
        <v>0</v>
      </c>
      <c r="J181" s="136">
        <v>0</v>
      </c>
      <c r="K181" s="135">
        <v>0</v>
      </c>
      <c r="L181" s="136">
        <v>0</v>
      </c>
      <c r="M181" s="135">
        <v>0</v>
      </c>
      <c r="N181" s="136">
        <v>0</v>
      </c>
      <c r="O181" s="135">
        <v>2</v>
      </c>
      <c r="P181" s="136">
        <v>1.1614689055659788</v>
      </c>
      <c r="Q181" s="135">
        <v>0</v>
      </c>
      <c r="R181" s="136">
        <v>0</v>
      </c>
    </row>
    <row r="182" spans="1:18">
      <c r="A182" s="93" t="s">
        <v>98</v>
      </c>
      <c r="B182" s="94">
        <f t="shared" si="47"/>
        <v>30</v>
      </c>
      <c r="C182" s="95">
        <f t="shared" si="48"/>
        <v>2141.8164630000001</v>
      </c>
      <c r="D182" s="96">
        <f t="shared" si="49"/>
        <v>3.5340945124833663E-2</v>
      </c>
      <c r="F182" s="97" t="s">
        <v>98</v>
      </c>
      <c r="G182" s="135">
        <v>10</v>
      </c>
      <c r="H182" s="136">
        <v>2010</v>
      </c>
      <c r="I182" s="135">
        <v>2</v>
      </c>
      <c r="J182" s="136">
        <v>103.4</v>
      </c>
      <c r="K182" s="135">
        <v>1</v>
      </c>
      <c r="L182" s="136">
        <v>10</v>
      </c>
      <c r="M182" s="135">
        <v>0</v>
      </c>
      <c r="N182" s="136">
        <v>0</v>
      </c>
      <c r="O182" s="135">
        <v>17</v>
      </c>
      <c r="P182" s="136">
        <v>18.416463</v>
      </c>
      <c r="Q182" s="135">
        <v>0</v>
      </c>
      <c r="R182" s="136">
        <v>0</v>
      </c>
    </row>
    <row r="183" spans="1:18">
      <c r="A183" s="93" t="s">
        <v>99</v>
      </c>
      <c r="B183" s="94">
        <f t="shared" si="47"/>
        <v>76</v>
      </c>
      <c r="C183" s="95">
        <f t="shared" si="48"/>
        <v>3614.4823395032518</v>
      </c>
      <c r="D183" s="96">
        <f t="shared" si="49"/>
        <v>5.9640601434234476E-2</v>
      </c>
      <c r="F183" s="97" t="s">
        <v>99</v>
      </c>
      <c r="G183" s="135">
        <v>14</v>
      </c>
      <c r="H183" s="136">
        <v>3500</v>
      </c>
      <c r="I183" s="135">
        <v>1</v>
      </c>
      <c r="J183" s="136">
        <v>50</v>
      </c>
      <c r="K183" s="135">
        <v>0</v>
      </c>
      <c r="L183" s="136">
        <v>0</v>
      </c>
      <c r="M183" s="135">
        <v>0</v>
      </c>
      <c r="N183" s="136">
        <v>0</v>
      </c>
      <c r="O183" s="135">
        <v>61</v>
      </c>
      <c r="P183" s="136">
        <v>64.482339503251623</v>
      </c>
      <c r="Q183" s="135">
        <v>0</v>
      </c>
      <c r="R183" s="136">
        <v>0</v>
      </c>
    </row>
    <row r="184" spans="1:18">
      <c r="A184" s="93" t="s">
        <v>100</v>
      </c>
      <c r="B184" s="94">
        <f t="shared" si="47"/>
        <v>197</v>
      </c>
      <c r="C184" s="95">
        <f t="shared" si="48"/>
        <v>20241.998916818451</v>
      </c>
      <c r="D184" s="96">
        <f t="shared" si="49"/>
        <v>0.33400218239718671</v>
      </c>
      <c r="F184" s="97" t="s">
        <v>100</v>
      </c>
      <c r="G184" s="135">
        <v>88</v>
      </c>
      <c r="H184" s="136">
        <v>20132.717497818448</v>
      </c>
      <c r="I184" s="135">
        <v>3</v>
      </c>
      <c r="J184" s="136">
        <v>8.5250000000000004</v>
      </c>
      <c r="K184" s="135">
        <v>0</v>
      </c>
      <c r="L184" s="136">
        <v>0</v>
      </c>
      <c r="M184" s="135">
        <v>0</v>
      </c>
      <c r="N184" s="136">
        <v>0</v>
      </c>
      <c r="O184" s="135">
        <v>106</v>
      </c>
      <c r="P184" s="136">
        <v>100.75641899999998</v>
      </c>
      <c r="Q184" s="135">
        <v>0</v>
      </c>
      <c r="R184" s="136">
        <v>0</v>
      </c>
    </row>
    <row r="185" spans="1:18">
      <c r="A185" s="93" t="s">
        <v>101</v>
      </c>
      <c r="B185" s="94">
        <f t="shared" si="47"/>
        <v>119</v>
      </c>
      <c r="C185" s="95">
        <f t="shared" si="48"/>
        <v>6673.2624328682068</v>
      </c>
      <c r="D185" s="96">
        <f t="shared" si="49"/>
        <v>0.11011186323279712</v>
      </c>
      <c r="F185" s="97" t="s">
        <v>101</v>
      </c>
      <c r="G185" s="135">
        <v>58</v>
      </c>
      <c r="H185" s="136">
        <v>6562.090525470001</v>
      </c>
      <c r="I185" s="135">
        <v>6</v>
      </c>
      <c r="J185" s="136">
        <v>16.579999999999998</v>
      </c>
      <c r="K185" s="135">
        <v>1</v>
      </c>
      <c r="L185" s="136">
        <v>34.217846269999995</v>
      </c>
      <c r="M185" s="135">
        <v>0</v>
      </c>
      <c r="N185" s="136">
        <v>0</v>
      </c>
      <c r="O185" s="135">
        <v>54</v>
      </c>
      <c r="P185" s="136">
        <v>60.374061128205142</v>
      </c>
      <c r="Q185" s="135">
        <v>0</v>
      </c>
      <c r="R185" s="136">
        <v>0</v>
      </c>
    </row>
    <row r="186" spans="1:18" ht="17.25">
      <c r="A186" s="104" t="s">
        <v>104</v>
      </c>
      <c r="B186" s="89">
        <f>SUM(B187:B188)</f>
        <v>1378</v>
      </c>
      <c r="C186" s="90">
        <f>SUM(C187:C188)</f>
        <v>907.94236801185707</v>
      </c>
      <c r="D186" s="91">
        <f>SUM(D187:D188)</f>
        <v>1.4981461744613815E-2</v>
      </c>
      <c r="E186" s="123"/>
      <c r="F186" s="97"/>
      <c r="G186" s="135"/>
      <c r="H186" s="136"/>
      <c r="I186" s="135"/>
      <c r="J186" s="136"/>
      <c r="K186" s="135"/>
      <c r="L186" s="136"/>
      <c r="M186" s="135"/>
      <c r="N186" s="136"/>
      <c r="O186" s="135"/>
      <c r="P186" s="136"/>
      <c r="Q186" s="135"/>
      <c r="R186" s="136"/>
    </row>
    <row r="187" spans="1:18">
      <c r="A187" s="93" t="s">
        <v>94</v>
      </c>
      <c r="B187" s="94">
        <f>Q178</f>
        <v>1200</v>
      </c>
      <c r="C187" s="95">
        <f>R178</f>
        <v>889.85804546185705</v>
      </c>
      <c r="D187" s="96">
        <f t="shared" si="49"/>
        <v>1.4683062202963013E-2</v>
      </c>
      <c r="F187" s="97"/>
      <c r="G187" s="135"/>
      <c r="H187" s="136"/>
      <c r="I187" s="135"/>
      <c r="J187" s="136"/>
      <c r="K187" s="135"/>
      <c r="L187" s="136"/>
      <c r="M187" s="135"/>
      <c r="N187" s="136"/>
      <c r="O187" s="135"/>
      <c r="P187" s="136"/>
      <c r="Q187" s="135"/>
      <c r="R187" s="136"/>
    </row>
    <row r="188" spans="1:18">
      <c r="A188" s="93" t="s">
        <v>96</v>
      </c>
      <c r="B188" s="94">
        <f>Q180</f>
        <v>178</v>
      </c>
      <c r="C188" s="95">
        <f>R180</f>
        <v>18.084322550000003</v>
      </c>
      <c r="D188" s="96">
        <f t="shared" si="49"/>
        <v>2.9839954165080209E-4</v>
      </c>
      <c r="F188" s="97"/>
      <c r="G188" s="135"/>
      <c r="H188" s="136"/>
      <c r="I188" s="135"/>
      <c r="J188" s="136"/>
      <c r="K188" s="135"/>
      <c r="L188" s="136"/>
      <c r="M188" s="135"/>
      <c r="N188" s="136"/>
      <c r="O188" s="135"/>
      <c r="P188" s="136"/>
      <c r="Q188" s="135"/>
      <c r="R188" s="136"/>
    </row>
    <row r="189" spans="1:18">
      <c r="A189" s="84" t="s">
        <v>26</v>
      </c>
      <c r="B189" s="85">
        <f>B190+B202</f>
        <v>1410</v>
      </c>
      <c r="C189" s="86">
        <f>C190+C202</f>
        <v>47019.352689629879</v>
      </c>
      <c r="D189" s="87">
        <f>D190+D202</f>
        <v>1.0000000000000002</v>
      </c>
      <c r="F189" s="84" t="s">
        <v>26</v>
      </c>
      <c r="G189" s="85">
        <f>SUM(G191:G201)</f>
        <v>373</v>
      </c>
      <c r="H189" s="86">
        <f t="shared" ref="H189:R189" si="50">SUM(H191:H201)</f>
        <v>45252.769606215086</v>
      </c>
      <c r="I189" s="85">
        <f t="shared" si="50"/>
        <v>31</v>
      </c>
      <c r="J189" s="86">
        <f t="shared" si="50"/>
        <v>458.98</v>
      </c>
      <c r="K189" s="85">
        <f t="shared" si="50"/>
        <v>4</v>
      </c>
      <c r="L189" s="86">
        <f t="shared" si="50"/>
        <v>71.297663879399011</v>
      </c>
      <c r="M189" s="85">
        <f t="shared" si="50"/>
        <v>3</v>
      </c>
      <c r="N189" s="86">
        <f t="shared" si="50"/>
        <v>87.758069790000008</v>
      </c>
      <c r="O189" s="85">
        <f t="shared" si="50"/>
        <v>585</v>
      </c>
      <c r="P189" s="86">
        <f t="shared" si="50"/>
        <v>525.25752000980219</v>
      </c>
      <c r="Q189" s="85">
        <f t="shared" si="50"/>
        <v>414</v>
      </c>
      <c r="R189" s="86">
        <f t="shared" si="50"/>
        <v>623.28982973559505</v>
      </c>
    </row>
    <row r="190" spans="1:18">
      <c r="A190" s="88" t="s">
        <v>90</v>
      </c>
      <c r="B190" s="89">
        <f>SUM(B191:B201)</f>
        <v>996</v>
      </c>
      <c r="C190" s="90">
        <f>SUM(C191:C201)</f>
        <v>46396.062859894286</v>
      </c>
      <c r="D190" s="91">
        <f>SUM(D191:D201)</f>
        <v>0.98674397255424029</v>
      </c>
      <c r="F190" s="92"/>
      <c r="G190" s="89"/>
      <c r="H190" s="90"/>
      <c r="I190" s="89"/>
      <c r="J190" s="90"/>
      <c r="K190" s="89"/>
      <c r="L190" s="90"/>
      <c r="M190" s="89"/>
      <c r="N190" s="90"/>
      <c r="O190" s="89"/>
      <c r="P190" s="90"/>
      <c r="Q190" s="89"/>
      <c r="R190" s="90"/>
    </row>
    <row r="191" spans="1:18">
      <c r="A191" s="93" t="s">
        <v>91</v>
      </c>
      <c r="B191" s="94">
        <f t="shared" ref="B191:B201" si="51">G191+I191+K191+M191+O191</f>
        <v>287</v>
      </c>
      <c r="C191" s="95">
        <f t="shared" ref="C191:C201" si="52">H191+J191+L191+N191+P191</f>
        <v>5367.5245553700015</v>
      </c>
      <c r="D191" s="96">
        <f>C191/$C$189</f>
        <v>0.11415564545944525</v>
      </c>
      <c r="F191" s="97" t="s">
        <v>91</v>
      </c>
      <c r="G191" s="135">
        <v>109</v>
      </c>
      <c r="H191" s="136">
        <v>5190.2448553100012</v>
      </c>
      <c r="I191" s="135">
        <v>8</v>
      </c>
      <c r="J191" s="136">
        <v>65.75</v>
      </c>
      <c r="K191" s="135">
        <v>1</v>
      </c>
      <c r="L191" s="136">
        <v>9.7320855599999998</v>
      </c>
      <c r="M191" s="135">
        <v>0</v>
      </c>
      <c r="N191" s="136">
        <v>0</v>
      </c>
      <c r="O191" s="135">
        <v>169</v>
      </c>
      <c r="P191" s="136">
        <v>101.79761449999999</v>
      </c>
      <c r="Q191" s="135">
        <v>0</v>
      </c>
      <c r="R191" s="136">
        <v>0</v>
      </c>
    </row>
    <row r="192" spans="1:18">
      <c r="A192" s="93" t="s">
        <v>92</v>
      </c>
      <c r="B192" s="94">
        <f t="shared" si="51"/>
        <v>85</v>
      </c>
      <c r="C192" s="95">
        <f t="shared" si="52"/>
        <v>2888.1366450200003</v>
      </c>
      <c r="D192" s="96">
        <f t="shared" ref="D192:D204" si="53">C192/$C$189</f>
        <v>6.142442377044844E-2</v>
      </c>
      <c r="F192" s="97" t="s">
        <v>92</v>
      </c>
      <c r="G192" s="135">
        <v>36</v>
      </c>
      <c r="H192" s="136">
        <v>2725.93774502</v>
      </c>
      <c r="I192" s="135">
        <v>3</v>
      </c>
      <c r="J192" s="136">
        <v>36.150000000000006</v>
      </c>
      <c r="K192" s="135">
        <v>0</v>
      </c>
      <c r="L192" s="136">
        <v>0</v>
      </c>
      <c r="M192" s="135">
        <v>0</v>
      </c>
      <c r="N192" s="136">
        <v>0</v>
      </c>
      <c r="O192" s="135">
        <v>46</v>
      </c>
      <c r="P192" s="136">
        <v>126.04890000000002</v>
      </c>
      <c r="Q192" s="135">
        <v>0</v>
      </c>
      <c r="R192" s="136">
        <v>0</v>
      </c>
    </row>
    <row r="193" spans="1:18">
      <c r="A193" s="93" t="s">
        <v>93</v>
      </c>
      <c r="B193" s="94">
        <f t="shared" si="51"/>
        <v>114</v>
      </c>
      <c r="C193" s="95">
        <f t="shared" si="52"/>
        <v>9467.3199484422312</v>
      </c>
      <c r="D193" s="96">
        <f t="shared" si="53"/>
        <v>0.20134943181661982</v>
      </c>
      <c r="F193" s="97" t="s">
        <v>93</v>
      </c>
      <c r="G193" s="135">
        <v>54</v>
      </c>
      <c r="H193" s="136">
        <v>9325.5029797499992</v>
      </c>
      <c r="I193" s="135">
        <v>5</v>
      </c>
      <c r="J193" s="136">
        <v>16.559999999999999</v>
      </c>
      <c r="K193" s="135">
        <v>0</v>
      </c>
      <c r="L193" s="136">
        <v>0</v>
      </c>
      <c r="M193" s="135">
        <v>1</v>
      </c>
      <c r="N193" s="136">
        <v>77.900000000000006</v>
      </c>
      <c r="O193" s="135">
        <v>54</v>
      </c>
      <c r="P193" s="136">
        <v>47.35696869223348</v>
      </c>
      <c r="Q193" s="135">
        <v>0</v>
      </c>
      <c r="R193" s="136">
        <v>0</v>
      </c>
    </row>
    <row r="194" spans="1:18">
      <c r="A194" s="93" t="s">
        <v>94</v>
      </c>
      <c r="B194" s="94">
        <f t="shared" si="51"/>
        <v>80</v>
      </c>
      <c r="C194" s="95">
        <f t="shared" si="52"/>
        <v>6586.6569585084198</v>
      </c>
      <c r="D194" s="96">
        <f t="shared" si="53"/>
        <v>0.14008395653564809</v>
      </c>
      <c r="F194" s="97" t="s">
        <v>94</v>
      </c>
      <c r="G194" s="135">
        <v>29</v>
      </c>
      <c r="H194" s="136">
        <v>6491.0526903499995</v>
      </c>
      <c r="I194" s="135">
        <v>2</v>
      </c>
      <c r="J194" s="136">
        <v>3</v>
      </c>
      <c r="K194" s="135">
        <v>1</v>
      </c>
      <c r="L194" s="136">
        <v>40</v>
      </c>
      <c r="M194" s="135">
        <v>2</v>
      </c>
      <c r="N194" s="136">
        <v>9.8580697900000001</v>
      </c>
      <c r="O194" s="135">
        <v>46</v>
      </c>
      <c r="P194" s="136">
        <v>42.746198368421048</v>
      </c>
      <c r="Q194" s="135">
        <v>286</v>
      </c>
      <c r="R194" s="136">
        <v>322.67604912059505</v>
      </c>
    </row>
    <row r="195" spans="1:18">
      <c r="A195" s="93" t="s">
        <v>95</v>
      </c>
      <c r="B195" s="94">
        <f t="shared" si="51"/>
        <v>50</v>
      </c>
      <c r="C195" s="95">
        <f t="shared" si="52"/>
        <v>1140.7337566010235</v>
      </c>
      <c r="D195" s="96">
        <f t="shared" si="53"/>
        <v>2.4260941321989155E-2</v>
      </c>
      <c r="F195" s="97" t="s">
        <v>95</v>
      </c>
      <c r="G195" s="135">
        <v>13</v>
      </c>
      <c r="H195" s="136">
        <v>1071.2546771599998</v>
      </c>
      <c r="I195" s="135">
        <v>4</v>
      </c>
      <c r="J195" s="136">
        <v>7.75</v>
      </c>
      <c r="K195" s="135">
        <v>2</v>
      </c>
      <c r="L195" s="136">
        <v>21.565578319399002</v>
      </c>
      <c r="M195" s="135">
        <v>0</v>
      </c>
      <c r="N195" s="136">
        <v>0</v>
      </c>
      <c r="O195" s="135">
        <v>31</v>
      </c>
      <c r="P195" s="136">
        <v>40.163501121624648</v>
      </c>
      <c r="Q195" s="135">
        <v>0</v>
      </c>
      <c r="R195" s="136">
        <v>0</v>
      </c>
    </row>
    <row r="196" spans="1:18">
      <c r="A196" s="93" t="s">
        <v>96</v>
      </c>
      <c r="B196" s="94">
        <f t="shared" si="51"/>
        <v>41</v>
      </c>
      <c r="C196" s="95">
        <f t="shared" si="52"/>
        <v>1664.8603015399999</v>
      </c>
      <c r="D196" s="96">
        <f t="shared" si="53"/>
        <v>3.5407980040252342E-2</v>
      </c>
      <c r="F196" s="97" t="s">
        <v>96</v>
      </c>
      <c r="G196" s="135">
        <v>14</v>
      </c>
      <c r="H196" s="136">
        <v>1649.51234075</v>
      </c>
      <c r="I196" s="135">
        <v>0</v>
      </c>
      <c r="J196" s="136">
        <v>0</v>
      </c>
      <c r="K196" s="135">
        <v>0</v>
      </c>
      <c r="L196" s="136">
        <v>0</v>
      </c>
      <c r="M196" s="135">
        <v>0</v>
      </c>
      <c r="N196" s="136">
        <v>0</v>
      </c>
      <c r="O196" s="135">
        <v>27</v>
      </c>
      <c r="P196" s="136">
        <v>15.347960790000002</v>
      </c>
      <c r="Q196" s="135">
        <v>128</v>
      </c>
      <c r="R196" s="136">
        <v>300.61378061499994</v>
      </c>
    </row>
    <row r="197" spans="1:18">
      <c r="A197" s="93" t="s">
        <v>97</v>
      </c>
      <c r="B197" s="94">
        <f t="shared" si="51"/>
        <v>0</v>
      </c>
      <c r="C197" s="95">
        <f t="shared" si="52"/>
        <v>0.52386890556597876</v>
      </c>
      <c r="D197" s="96">
        <f t="shared" si="53"/>
        <v>1.1141559285683618E-5</v>
      </c>
      <c r="F197" s="97" t="s">
        <v>97</v>
      </c>
      <c r="G197" s="135">
        <v>0</v>
      </c>
      <c r="H197" s="136">
        <v>0</v>
      </c>
      <c r="I197" s="135">
        <v>0</v>
      </c>
      <c r="J197" s="136">
        <v>0</v>
      </c>
      <c r="K197" s="135">
        <v>0</v>
      </c>
      <c r="L197" s="136">
        <v>0</v>
      </c>
      <c r="M197" s="135">
        <v>0</v>
      </c>
      <c r="N197" s="136">
        <v>0</v>
      </c>
      <c r="O197" s="135">
        <v>0</v>
      </c>
      <c r="P197" s="136">
        <v>0.52386890556597876</v>
      </c>
      <c r="Q197" s="135">
        <v>0</v>
      </c>
      <c r="R197" s="136">
        <v>0</v>
      </c>
    </row>
    <row r="198" spans="1:18">
      <c r="A198" s="93" t="s">
        <v>98</v>
      </c>
      <c r="B198" s="94">
        <f t="shared" si="51"/>
        <v>26</v>
      </c>
      <c r="C198" s="95">
        <f t="shared" si="52"/>
        <v>1789.54761824</v>
      </c>
      <c r="D198" s="96">
        <f t="shared" si="53"/>
        <v>3.8059809756476826E-2</v>
      </c>
      <c r="F198" s="97" t="s">
        <v>98</v>
      </c>
      <c r="G198" s="135">
        <v>14</v>
      </c>
      <c r="H198" s="136">
        <v>1472.4312872400001</v>
      </c>
      <c r="I198" s="135">
        <v>4</v>
      </c>
      <c r="J198" s="136">
        <v>310.5</v>
      </c>
      <c r="K198" s="135">
        <v>0</v>
      </c>
      <c r="L198" s="136">
        <v>0</v>
      </c>
      <c r="M198" s="135">
        <v>0</v>
      </c>
      <c r="N198" s="136">
        <v>0</v>
      </c>
      <c r="O198" s="135">
        <v>8</v>
      </c>
      <c r="P198" s="136">
        <v>6.6163309999999997</v>
      </c>
      <c r="Q198" s="135">
        <v>0</v>
      </c>
      <c r="R198" s="136">
        <v>0</v>
      </c>
    </row>
    <row r="199" spans="1:18">
      <c r="A199" s="93" t="s">
        <v>99</v>
      </c>
      <c r="B199" s="94">
        <f t="shared" si="51"/>
        <v>126</v>
      </c>
      <c r="C199" s="95">
        <f t="shared" si="52"/>
        <v>11413.921122188836</v>
      </c>
      <c r="D199" s="96">
        <f t="shared" si="53"/>
        <v>0.24274943122954087</v>
      </c>
      <c r="F199" s="97" t="s">
        <v>99</v>
      </c>
      <c r="G199" s="135">
        <v>33</v>
      </c>
      <c r="H199" s="136">
        <v>11325.373766685085</v>
      </c>
      <c r="I199" s="135">
        <v>4</v>
      </c>
      <c r="J199" s="136">
        <v>17.27</v>
      </c>
      <c r="K199" s="135">
        <v>0</v>
      </c>
      <c r="L199" s="136">
        <v>0</v>
      </c>
      <c r="M199" s="135">
        <v>0</v>
      </c>
      <c r="N199" s="136">
        <v>0</v>
      </c>
      <c r="O199" s="135">
        <v>89</v>
      </c>
      <c r="P199" s="136">
        <v>71.277355503751878</v>
      </c>
      <c r="Q199" s="135">
        <v>0</v>
      </c>
      <c r="R199" s="136">
        <v>0</v>
      </c>
    </row>
    <row r="200" spans="1:18">
      <c r="A200" s="93" t="s">
        <v>100</v>
      </c>
      <c r="B200" s="94">
        <f t="shared" si="51"/>
        <v>93</v>
      </c>
      <c r="C200" s="95">
        <f t="shared" si="52"/>
        <v>3706.0448006199999</v>
      </c>
      <c r="D200" s="96">
        <f t="shared" si="53"/>
        <v>7.8819562342409027E-2</v>
      </c>
      <c r="F200" s="97" t="s">
        <v>100</v>
      </c>
      <c r="G200" s="135">
        <v>37</v>
      </c>
      <c r="H200" s="136">
        <v>3678.2206756199998</v>
      </c>
      <c r="I200" s="135">
        <v>0</v>
      </c>
      <c r="J200" s="136">
        <v>0</v>
      </c>
      <c r="K200" s="135">
        <v>0</v>
      </c>
      <c r="L200" s="136">
        <v>0</v>
      </c>
      <c r="M200" s="135">
        <v>0</v>
      </c>
      <c r="N200" s="136">
        <v>0</v>
      </c>
      <c r="O200" s="135">
        <v>56</v>
      </c>
      <c r="P200" s="136">
        <v>27.824124999999995</v>
      </c>
      <c r="Q200" s="135">
        <v>0</v>
      </c>
      <c r="R200" s="136">
        <v>0</v>
      </c>
    </row>
    <row r="201" spans="1:18">
      <c r="A201" s="93" t="s">
        <v>101</v>
      </c>
      <c r="B201" s="94">
        <f t="shared" si="51"/>
        <v>94</v>
      </c>
      <c r="C201" s="95">
        <f t="shared" si="52"/>
        <v>2370.7932844582051</v>
      </c>
      <c r="D201" s="96">
        <f t="shared" si="53"/>
        <v>5.0421648722124658E-2</v>
      </c>
      <c r="F201" s="97" t="s">
        <v>101</v>
      </c>
      <c r="G201" s="135">
        <v>34</v>
      </c>
      <c r="H201" s="136">
        <v>2323.2385883299999</v>
      </c>
      <c r="I201" s="135">
        <v>1</v>
      </c>
      <c r="J201" s="136">
        <v>2</v>
      </c>
      <c r="K201" s="135">
        <v>0</v>
      </c>
      <c r="L201" s="136">
        <v>0</v>
      </c>
      <c r="M201" s="135">
        <v>0</v>
      </c>
      <c r="N201" s="136">
        <v>0</v>
      </c>
      <c r="O201" s="135">
        <v>59</v>
      </c>
      <c r="P201" s="136">
        <v>45.55469612820513</v>
      </c>
      <c r="Q201" s="135">
        <v>0</v>
      </c>
      <c r="R201" s="136">
        <v>0</v>
      </c>
    </row>
    <row r="202" spans="1:18" ht="17.25">
      <c r="A202" s="104" t="s">
        <v>104</v>
      </c>
      <c r="B202" s="89">
        <f>SUM(B203:B204)</f>
        <v>414</v>
      </c>
      <c r="C202" s="90">
        <f>SUM(C203:C204)</f>
        <v>623.28982973559505</v>
      </c>
      <c r="D202" s="91">
        <f>SUM(D203:D204)</f>
        <v>1.3256027445759832E-2</v>
      </c>
      <c r="E202" s="123"/>
      <c r="F202" s="97"/>
      <c r="G202" s="135"/>
      <c r="H202" s="136"/>
      <c r="I202" s="135"/>
      <c r="J202" s="136"/>
      <c r="K202" s="135"/>
      <c r="L202" s="136"/>
      <c r="M202" s="135"/>
      <c r="N202" s="136"/>
      <c r="O202" s="135"/>
      <c r="P202" s="136"/>
      <c r="Q202" s="135"/>
      <c r="R202" s="136"/>
    </row>
    <row r="203" spans="1:18">
      <c r="A203" s="93" t="s">
        <v>94</v>
      </c>
      <c r="B203" s="94">
        <f>Q194</f>
        <v>286</v>
      </c>
      <c r="C203" s="95">
        <f>R194</f>
        <v>322.67604912059505</v>
      </c>
      <c r="D203" s="96">
        <f t="shared" si="53"/>
        <v>6.8626221047862548E-3</v>
      </c>
      <c r="F203" s="97"/>
      <c r="G203" s="135"/>
      <c r="H203" s="136"/>
      <c r="I203" s="135"/>
      <c r="J203" s="136"/>
      <c r="K203" s="135"/>
      <c r="L203" s="136"/>
      <c r="M203" s="135"/>
      <c r="N203" s="136"/>
      <c r="O203" s="135"/>
      <c r="P203" s="136"/>
      <c r="Q203" s="135"/>
      <c r="R203" s="136"/>
    </row>
    <row r="204" spans="1:18">
      <c r="A204" s="93" t="s">
        <v>96</v>
      </c>
      <c r="B204" s="94">
        <f>Q196</f>
        <v>128</v>
      </c>
      <c r="C204" s="95">
        <f>R196</f>
        <v>300.61378061499994</v>
      </c>
      <c r="D204" s="96">
        <f t="shared" si="53"/>
        <v>6.3934053409735762E-3</v>
      </c>
      <c r="F204" s="97"/>
      <c r="G204" s="135"/>
      <c r="H204" s="136"/>
      <c r="I204" s="135"/>
      <c r="J204" s="136"/>
      <c r="K204" s="135"/>
      <c r="L204" s="136"/>
      <c r="M204" s="135"/>
      <c r="N204" s="136"/>
      <c r="O204" s="135"/>
      <c r="P204" s="136"/>
      <c r="Q204" s="135"/>
      <c r="R204" s="136"/>
    </row>
    <row r="205" spans="1:18">
      <c r="A205" s="84" t="s">
        <v>28</v>
      </c>
      <c r="B205" s="85">
        <f>B206+B218</f>
        <v>171</v>
      </c>
      <c r="C205" s="86">
        <f>C206+C218</f>
        <v>6585.0853482142575</v>
      </c>
      <c r="D205" s="87">
        <f>D206+D218</f>
        <v>1</v>
      </c>
      <c r="F205" s="84" t="s">
        <v>28</v>
      </c>
      <c r="G205" s="85">
        <f>SUM(G207:G217)</f>
        <v>42</v>
      </c>
      <c r="H205" s="86">
        <f t="shared" ref="H205:R205" si="54">SUM(H207:H217)</f>
        <v>6396.2008078899999</v>
      </c>
      <c r="I205" s="85">
        <f t="shared" si="54"/>
        <v>1</v>
      </c>
      <c r="J205" s="86">
        <f t="shared" si="54"/>
        <v>3</v>
      </c>
      <c r="K205" s="85">
        <f t="shared" si="54"/>
        <v>0</v>
      </c>
      <c r="L205" s="86">
        <f t="shared" si="54"/>
        <v>0</v>
      </c>
      <c r="M205" s="85">
        <f t="shared" si="54"/>
        <v>1</v>
      </c>
      <c r="N205" s="86">
        <f t="shared" si="54"/>
        <v>100</v>
      </c>
      <c r="O205" s="85">
        <f t="shared" si="54"/>
        <v>103</v>
      </c>
      <c r="P205" s="86">
        <f t="shared" si="54"/>
        <v>70.867407744257576</v>
      </c>
      <c r="Q205" s="85">
        <f t="shared" si="54"/>
        <v>24</v>
      </c>
      <c r="R205" s="86">
        <f t="shared" si="54"/>
        <v>15.01713258</v>
      </c>
    </row>
    <row r="206" spans="1:18">
      <c r="A206" s="88" t="s">
        <v>90</v>
      </c>
      <c r="B206" s="89">
        <f>SUM(B207:B217)</f>
        <v>147</v>
      </c>
      <c r="C206" s="90">
        <f>SUM(C207:C217)</f>
        <v>6570.0682156342573</v>
      </c>
      <c r="D206" s="91">
        <f>SUM(D207:D217)</f>
        <v>0.99771952347070614</v>
      </c>
      <c r="F206" s="92"/>
      <c r="G206" s="89"/>
      <c r="H206" s="90"/>
      <c r="I206" s="89"/>
      <c r="J206" s="90"/>
      <c r="K206" s="89"/>
      <c r="L206" s="90"/>
      <c r="M206" s="89"/>
      <c r="N206" s="90"/>
      <c r="O206" s="89"/>
      <c r="P206" s="90"/>
      <c r="Q206" s="89"/>
      <c r="R206" s="90"/>
    </row>
    <row r="207" spans="1:18">
      <c r="A207" s="93" t="s">
        <v>91</v>
      </c>
      <c r="B207" s="94">
        <f t="shared" ref="B207:B217" si="55">G207+I207+K207+M207+O207</f>
        <v>19</v>
      </c>
      <c r="C207" s="95">
        <f t="shared" ref="C207:C217" si="56">H207+J207+L207+N207+P207</f>
        <v>191.28350022993578</v>
      </c>
      <c r="D207" s="96">
        <f>C207/$C$205</f>
        <v>2.9047991045675365E-2</v>
      </c>
      <c r="F207" s="97" t="s">
        <v>91</v>
      </c>
      <c r="G207" s="135">
        <v>4</v>
      </c>
      <c r="H207" s="136">
        <v>179.91612333999998</v>
      </c>
      <c r="I207" s="135">
        <v>0</v>
      </c>
      <c r="J207" s="136">
        <v>0</v>
      </c>
      <c r="K207" s="135">
        <v>0</v>
      </c>
      <c r="L207" s="136">
        <v>0</v>
      </c>
      <c r="M207" s="135">
        <v>0</v>
      </c>
      <c r="N207" s="136">
        <v>0</v>
      </c>
      <c r="O207" s="135">
        <v>15</v>
      </c>
      <c r="P207" s="136">
        <v>11.367376889935807</v>
      </c>
      <c r="Q207" s="135">
        <v>0</v>
      </c>
      <c r="R207" s="136">
        <v>0</v>
      </c>
    </row>
    <row r="208" spans="1:18">
      <c r="A208" s="93" t="s">
        <v>92</v>
      </c>
      <c r="B208" s="94">
        <f t="shared" si="55"/>
        <v>8</v>
      </c>
      <c r="C208" s="95">
        <f t="shared" si="56"/>
        <v>67.563132459999991</v>
      </c>
      <c r="D208" s="96">
        <f t="shared" ref="D208:D220" si="57">C208/$C$205</f>
        <v>1.0260023809459319E-2</v>
      </c>
      <c r="F208" s="97" t="s">
        <v>92</v>
      </c>
      <c r="G208" s="135">
        <v>3</v>
      </c>
      <c r="H208" s="136">
        <v>64.145910459999996</v>
      </c>
      <c r="I208" s="135">
        <v>0</v>
      </c>
      <c r="J208" s="136">
        <v>0</v>
      </c>
      <c r="K208" s="135">
        <v>0</v>
      </c>
      <c r="L208" s="136">
        <v>0</v>
      </c>
      <c r="M208" s="135">
        <v>0</v>
      </c>
      <c r="N208" s="136">
        <v>0</v>
      </c>
      <c r="O208" s="135">
        <v>5</v>
      </c>
      <c r="P208" s="136">
        <v>3.4172219999999998</v>
      </c>
      <c r="Q208" s="135">
        <v>0</v>
      </c>
      <c r="R208" s="136">
        <v>0</v>
      </c>
    </row>
    <row r="209" spans="1:18">
      <c r="A209" s="93" t="s">
        <v>93</v>
      </c>
      <c r="B209" s="94">
        <f t="shared" si="55"/>
        <v>15</v>
      </c>
      <c r="C209" s="95">
        <f t="shared" si="56"/>
        <v>207.68088635950619</v>
      </c>
      <c r="D209" s="96">
        <f t="shared" si="57"/>
        <v>3.1538070560592671E-2</v>
      </c>
      <c r="F209" s="97" t="s">
        <v>93</v>
      </c>
      <c r="G209" s="135">
        <v>5</v>
      </c>
      <c r="H209" s="136">
        <v>201.24935393999999</v>
      </c>
      <c r="I209" s="135">
        <v>0</v>
      </c>
      <c r="J209" s="136">
        <v>0</v>
      </c>
      <c r="K209" s="135">
        <v>0</v>
      </c>
      <c r="L209" s="136">
        <v>0</v>
      </c>
      <c r="M209" s="135">
        <v>0</v>
      </c>
      <c r="N209" s="136">
        <v>0</v>
      </c>
      <c r="O209" s="135">
        <v>10</v>
      </c>
      <c r="P209" s="136">
        <v>6.4315324195061958</v>
      </c>
      <c r="Q209" s="135">
        <v>0</v>
      </c>
      <c r="R209" s="136">
        <v>0</v>
      </c>
    </row>
    <row r="210" spans="1:18">
      <c r="A210" s="93" t="s">
        <v>94</v>
      </c>
      <c r="B210" s="94">
        <f t="shared" si="55"/>
        <v>31</v>
      </c>
      <c r="C210" s="95">
        <f t="shared" si="56"/>
        <v>1212.8694516484211</v>
      </c>
      <c r="D210" s="96">
        <f t="shared" si="57"/>
        <v>0.18418431766830887</v>
      </c>
      <c r="F210" s="97" t="s">
        <v>94</v>
      </c>
      <c r="G210" s="135">
        <v>11</v>
      </c>
      <c r="H210" s="136">
        <v>1100.49740428</v>
      </c>
      <c r="I210" s="135">
        <v>0</v>
      </c>
      <c r="J210" s="136">
        <v>0</v>
      </c>
      <c r="K210" s="135">
        <v>0</v>
      </c>
      <c r="L210" s="136">
        <v>0</v>
      </c>
      <c r="M210" s="135">
        <v>1</v>
      </c>
      <c r="N210" s="136">
        <v>100</v>
      </c>
      <c r="O210" s="135">
        <v>19</v>
      </c>
      <c r="P210" s="136">
        <v>12.372047368421047</v>
      </c>
      <c r="Q210" s="135">
        <v>13</v>
      </c>
      <c r="R210" s="136">
        <v>7.5085662900000001</v>
      </c>
    </row>
    <row r="211" spans="1:18">
      <c r="A211" s="93" t="s">
        <v>95</v>
      </c>
      <c r="B211" s="94">
        <f t="shared" si="55"/>
        <v>2</v>
      </c>
      <c r="C211" s="95">
        <f t="shared" si="56"/>
        <v>6.0885908424164796</v>
      </c>
      <c r="D211" s="96">
        <f t="shared" si="57"/>
        <v>9.2460317831227247E-4</v>
      </c>
      <c r="F211" s="97" t="s">
        <v>95</v>
      </c>
      <c r="G211" s="135">
        <v>0</v>
      </c>
      <c r="H211" s="136">
        <v>0</v>
      </c>
      <c r="I211" s="135">
        <v>1</v>
      </c>
      <c r="J211" s="136">
        <v>3</v>
      </c>
      <c r="K211" s="135">
        <v>0</v>
      </c>
      <c r="L211" s="136">
        <v>0</v>
      </c>
      <c r="M211" s="135">
        <v>0</v>
      </c>
      <c r="N211" s="136">
        <v>0</v>
      </c>
      <c r="O211" s="135">
        <v>1</v>
      </c>
      <c r="P211" s="136">
        <v>3.0885908424164796</v>
      </c>
      <c r="Q211" s="135">
        <v>0</v>
      </c>
      <c r="R211" s="136">
        <v>0</v>
      </c>
    </row>
    <row r="212" spans="1:18">
      <c r="A212" s="93" t="s">
        <v>96</v>
      </c>
      <c r="B212" s="94">
        <f t="shared" si="55"/>
        <v>4</v>
      </c>
      <c r="C212" s="95">
        <f t="shared" si="56"/>
        <v>2.58979414</v>
      </c>
      <c r="D212" s="96">
        <f t="shared" si="57"/>
        <v>3.9328178801848027E-4</v>
      </c>
      <c r="F212" s="97" t="s">
        <v>96</v>
      </c>
      <c r="G212" s="135">
        <v>0</v>
      </c>
      <c r="H212" s="136">
        <v>0</v>
      </c>
      <c r="I212" s="135">
        <v>0</v>
      </c>
      <c r="J212" s="136">
        <v>0</v>
      </c>
      <c r="K212" s="135">
        <v>0</v>
      </c>
      <c r="L212" s="136">
        <v>0</v>
      </c>
      <c r="M212" s="135">
        <v>0</v>
      </c>
      <c r="N212" s="136">
        <v>0</v>
      </c>
      <c r="O212" s="135">
        <v>4</v>
      </c>
      <c r="P212" s="136">
        <v>2.58979414</v>
      </c>
      <c r="Q212" s="135">
        <v>11</v>
      </c>
      <c r="R212" s="136">
        <v>7.5085662900000001</v>
      </c>
    </row>
    <row r="213" spans="1:18">
      <c r="A213" s="93" t="s">
        <v>97</v>
      </c>
      <c r="B213" s="94">
        <f t="shared" si="55"/>
        <v>0</v>
      </c>
      <c r="C213" s="95">
        <f t="shared" si="56"/>
        <v>1.0046774510205243</v>
      </c>
      <c r="D213" s="96">
        <f t="shared" si="57"/>
        <v>1.5256863015343796E-4</v>
      </c>
      <c r="F213" s="97" t="s">
        <v>97</v>
      </c>
      <c r="G213" s="135">
        <v>0</v>
      </c>
      <c r="H213" s="136">
        <v>0</v>
      </c>
      <c r="I213" s="135">
        <v>0</v>
      </c>
      <c r="J213" s="136">
        <v>0</v>
      </c>
      <c r="K213" s="135">
        <v>0</v>
      </c>
      <c r="L213" s="136">
        <v>0</v>
      </c>
      <c r="M213" s="135">
        <v>0</v>
      </c>
      <c r="N213" s="136">
        <v>0</v>
      </c>
      <c r="O213" s="135">
        <v>0</v>
      </c>
      <c r="P213" s="136">
        <v>1.0046774510205243</v>
      </c>
      <c r="Q213" s="135">
        <v>0</v>
      </c>
      <c r="R213" s="136">
        <v>0</v>
      </c>
    </row>
    <row r="214" spans="1:18">
      <c r="A214" s="93" t="s">
        <v>98</v>
      </c>
      <c r="B214" s="94">
        <f t="shared" si="55"/>
        <v>3</v>
      </c>
      <c r="C214" s="95">
        <f t="shared" si="56"/>
        <v>60.332064279999997</v>
      </c>
      <c r="D214" s="96">
        <f t="shared" si="57"/>
        <v>9.1619259416828719E-3</v>
      </c>
      <c r="F214" s="97" t="s">
        <v>98</v>
      </c>
      <c r="G214" s="135">
        <v>2</v>
      </c>
      <c r="H214" s="136">
        <v>59.625201279999999</v>
      </c>
      <c r="I214" s="135">
        <v>0</v>
      </c>
      <c r="J214" s="136">
        <v>0</v>
      </c>
      <c r="K214" s="135">
        <v>0</v>
      </c>
      <c r="L214" s="136">
        <v>0</v>
      </c>
      <c r="M214" s="135">
        <v>0</v>
      </c>
      <c r="N214" s="136">
        <v>0</v>
      </c>
      <c r="O214" s="135">
        <v>1</v>
      </c>
      <c r="P214" s="136">
        <v>0.70686300000000002</v>
      </c>
      <c r="Q214" s="135">
        <v>0</v>
      </c>
      <c r="R214" s="136">
        <v>0</v>
      </c>
    </row>
    <row r="215" spans="1:18">
      <c r="A215" s="93" t="s">
        <v>99</v>
      </c>
      <c r="B215" s="94">
        <f t="shared" si="55"/>
        <v>26</v>
      </c>
      <c r="C215" s="95">
        <f t="shared" si="56"/>
        <v>2590.8055080047525</v>
      </c>
      <c r="D215" s="96">
        <f t="shared" si="57"/>
        <v>0.39343537266488532</v>
      </c>
      <c r="F215" s="97" t="s">
        <v>99</v>
      </c>
      <c r="G215" s="135">
        <v>4</v>
      </c>
      <c r="H215" s="136">
        <v>2577.5952655000001</v>
      </c>
      <c r="I215" s="135">
        <v>0</v>
      </c>
      <c r="J215" s="136">
        <v>0</v>
      </c>
      <c r="K215" s="135">
        <v>0</v>
      </c>
      <c r="L215" s="136">
        <v>0</v>
      </c>
      <c r="M215" s="135">
        <v>0</v>
      </c>
      <c r="N215" s="136">
        <v>0</v>
      </c>
      <c r="O215" s="135">
        <v>22</v>
      </c>
      <c r="P215" s="136">
        <v>13.210242504752376</v>
      </c>
      <c r="Q215" s="135">
        <v>0</v>
      </c>
      <c r="R215" s="136">
        <v>0</v>
      </c>
    </row>
    <row r="216" spans="1:18">
      <c r="A216" s="93" t="s">
        <v>100</v>
      </c>
      <c r="B216" s="94">
        <f t="shared" si="55"/>
        <v>32</v>
      </c>
      <c r="C216" s="95">
        <f t="shared" si="56"/>
        <v>2190.9735490899998</v>
      </c>
      <c r="D216" s="96">
        <f t="shared" si="57"/>
        <v>0.33271756298255839</v>
      </c>
      <c r="F216" s="97" t="s">
        <v>100</v>
      </c>
      <c r="G216" s="135">
        <v>12</v>
      </c>
      <c r="H216" s="136">
        <v>2178.5715490899997</v>
      </c>
      <c r="I216" s="135">
        <v>0</v>
      </c>
      <c r="J216" s="136">
        <v>0</v>
      </c>
      <c r="K216" s="135">
        <v>0</v>
      </c>
      <c r="L216" s="136">
        <v>0</v>
      </c>
      <c r="M216" s="135">
        <v>0</v>
      </c>
      <c r="N216" s="136">
        <v>0</v>
      </c>
      <c r="O216" s="135">
        <v>20</v>
      </c>
      <c r="P216" s="136">
        <v>12.401999999999996</v>
      </c>
      <c r="Q216" s="135">
        <v>0</v>
      </c>
      <c r="R216" s="136">
        <v>0</v>
      </c>
    </row>
    <row r="217" spans="1:18">
      <c r="A217" s="93" t="s">
        <v>101</v>
      </c>
      <c r="B217" s="94">
        <f t="shared" si="55"/>
        <v>7</v>
      </c>
      <c r="C217" s="95">
        <f t="shared" si="56"/>
        <v>38.877061128205128</v>
      </c>
      <c r="D217" s="96">
        <f t="shared" si="57"/>
        <v>5.9038052010590572E-3</v>
      </c>
      <c r="F217" s="97" t="s">
        <v>101</v>
      </c>
      <c r="G217" s="135">
        <v>1</v>
      </c>
      <c r="H217" s="136">
        <v>34.6</v>
      </c>
      <c r="I217" s="135">
        <v>0</v>
      </c>
      <c r="J217" s="136">
        <v>0</v>
      </c>
      <c r="K217" s="135">
        <v>0</v>
      </c>
      <c r="L217" s="136">
        <v>0</v>
      </c>
      <c r="M217" s="135">
        <v>0</v>
      </c>
      <c r="N217" s="136">
        <v>0</v>
      </c>
      <c r="O217" s="135">
        <v>6</v>
      </c>
      <c r="P217" s="136">
        <v>4.2770611282051272</v>
      </c>
      <c r="Q217" s="135">
        <v>0</v>
      </c>
      <c r="R217" s="136">
        <v>0</v>
      </c>
    </row>
    <row r="218" spans="1:18" ht="17.25">
      <c r="A218" s="104" t="s">
        <v>103</v>
      </c>
      <c r="B218" s="89">
        <f>SUM(B219:B220)</f>
        <v>24</v>
      </c>
      <c r="C218" s="90">
        <f>SUM(C219:C220)</f>
        <v>15.01713258</v>
      </c>
      <c r="D218" s="91">
        <f>SUM(D219:D220)</f>
        <v>2.280476529293936E-3</v>
      </c>
      <c r="E218" s="123"/>
      <c r="F218" s="97"/>
      <c r="G218" s="135"/>
      <c r="H218" s="136"/>
      <c r="I218" s="135"/>
      <c r="J218" s="136"/>
      <c r="K218" s="135"/>
      <c r="L218" s="136"/>
      <c r="M218" s="135"/>
      <c r="N218" s="136"/>
      <c r="O218" s="135"/>
      <c r="P218" s="136"/>
      <c r="Q218" s="135"/>
      <c r="R218" s="136"/>
    </row>
    <row r="219" spans="1:18">
      <c r="A219" s="93" t="s">
        <v>94</v>
      </c>
      <c r="B219" s="94">
        <f>Q210</f>
        <v>13</v>
      </c>
      <c r="C219" s="95">
        <f>R210</f>
        <v>7.5085662900000001</v>
      </c>
      <c r="D219" s="96">
        <f t="shared" si="57"/>
        <v>1.140238264646968E-3</v>
      </c>
      <c r="F219" s="97"/>
      <c r="G219" s="135"/>
      <c r="H219" s="136"/>
      <c r="I219" s="135"/>
      <c r="J219" s="136"/>
      <c r="K219" s="135"/>
      <c r="L219" s="136"/>
      <c r="M219" s="135"/>
      <c r="N219" s="136"/>
      <c r="O219" s="135"/>
      <c r="P219" s="136"/>
      <c r="Q219" s="135"/>
      <c r="R219" s="136"/>
    </row>
    <row r="220" spans="1:18">
      <c r="A220" s="93" t="s">
        <v>96</v>
      </c>
      <c r="B220" s="94">
        <f>Q212</f>
        <v>11</v>
      </c>
      <c r="C220" s="95">
        <f>R212</f>
        <v>7.5085662900000001</v>
      </c>
      <c r="D220" s="96">
        <f t="shared" si="57"/>
        <v>1.140238264646968E-3</v>
      </c>
      <c r="F220" s="97"/>
      <c r="G220" s="135"/>
      <c r="H220" s="136"/>
      <c r="I220" s="135"/>
      <c r="J220" s="136"/>
      <c r="K220" s="135"/>
      <c r="L220" s="136"/>
      <c r="M220" s="135"/>
      <c r="N220" s="136"/>
      <c r="O220" s="135"/>
      <c r="P220" s="136"/>
      <c r="Q220" s="135"/>
      <c r="R220" s="136"/>
    </row>
    <row r="221" spans="1:18">
      <c r="A221" s="84" t="s">
        <v>29</v>
      </c>
      <c r="B221" s="85">
        <f>SUM(B222:B232)</f>
        <v>70</v>
      </c>
      <c r="C221" s="86">
        <f>SUM(C222:C232)</f>
        <v>230.35622773345682</v>
      </c>
      <c r="D221" s="87">
        <f>SUM(D222:D232)</f>
        <v>1</v>
      </c>
      <c r="F221" s="84" t="s">
        <v>29</v>
      </c>
      <c r="G221" s="85">
        <f>SUM(G222:G232)</f>
        <v>8</v>
      </c>
      <c r="H221" s="86">
        <f t="shared" ref="H221:R221" si="58">SUM(H222:H232)</f>
        <v>34.103493760000006</v>
      </c>
      <c r="I221" s="85">
        <f t="shared" si="58"/>
        <v>20</v>
      </c>
      <c r="J221" s="86">
        <f t="shared" si="58"/>
        <v>164.27715599999999</v>
      </c>
      <c r="K221" s="85">
        <f t="shared" si="58"/>
        <v>0</v>
      </c>
      <c r="L221" s="86">
        <f t="shared" si="58"/>
        <v>0</v>
      </c>
      <c r="M221" s="85">
        <f t="shared" si="58"/>
        <v>0</v>
      </c>
      <c r="N221" s="86">
        <f t="shared" si="58"/>
        <v>0</v>
      </c>
      <c r="O221" s="85">
        <f t="shared" si="58"/>
        <v>42</v>
      </c>
      <c r="P221" s="86">
        <f t="shared" si="58"/>
        <v>31.975577973456829</v>
      </c>
      <c r="Q221" s="85">
        <f t="shared" si="58"/>
        <v>0</v>
      </c>
      <c r="R221" s="86">
        <f t="shared" si="58"/>
        <v>0</v>
      </c>
    </row>
    <row r="222" spans="1:18">
      <c r="A222" s="99" t="s">
        <v>91</v>
      </c>
      <c r="B222" s="94">
        <f t="shared" ref="B222:B232" si="59">G222+I222+K222+M222+O222</f>
        <v>8</v>
      </c>
      <c r="C222" s="95">
        <f t="shared" ref="C222:C232" si="60">H222+J222+L222+N222+P222</f>
        <v>2.4133749999999998</v>
      </c>
      <c r="D222" s="96">
        <f>C222/$C$221</f>
        <v>1.0476708286751835E-2</v>
      </c>
      <c r="F222" s="97" t="s">
        <v>91</v>
      </c>
      <c r="G222" s="135">
        <v>0</v>
      </c>
      <c r="H222" s="136">
        <v>0</v>
      </c>
      <c r="I222" s="135">
        <v>0</v>
      </c>
      <c r="J222" s="136">
        <v>0</v>
      </c>
      <c r="K222" s="135">
        <v>0</v>
      </c>
      <c r="L222" s="136">
        <v>0</v>
      </c>
      <c r="M222" s="135">
        <v>0</v>
      </c>
      <c r="N222" s="136">
        <v>0</v>
      </c>
      <c r="O222" s="135">
        <v>8</v>
      </c>
      <c r="P222" s="136">
        <v>2.4133749999999998</v>
      </c>
      <c r="Q222" s="135">
        <v>0</v>
      </c>
      <c r="R222" s="136">
        <v>0</v>
      </c>
    </row>
    <row r="223" spans="1:18">
      <c r="A223" s="99" t="s">
        <v>92</v>
      </c>
      <c r="B223" s="94">
        <f t="shared" si="59"/>
        <v>1</v>
      </c>
      <c r="C223" s="95">
        <f t="shared" si="60"/>
        <v>1.6620851228571429</v>
      </c>
      <c r="D223" s="96">
        <f t="shared" ref="D223:D232" si="61">C223/$C$221</f>
        <v>7.2152819101566779E-3</v>
      </c>
      <c r="F223" s="97" t="s">
        <v>92</v>
      </c>
      <c r="G223" s="135">
        <v>0</v>
      </c>
      <c r="H223" s="136">
        <v>0</v>
      </c>
      <c r="I223" s="135">
        <v>0</v>
      </c>
      <c r="J223" s="136">
        <v>0</v>
      </c>
      <c r="K223" s="135">
        <v>0</v>
      </c>
      <c r="L223" s="136">
        <v>0</v>
      </c>
      <c r="M223" s="135">
        <v>0</v>
      </c>
      <c r="N223" s="136">
        <v>0</v>
      </c>
      <c r="O223" s="135">
        <v>1</v>
      </c>
      <c r="P223" s="136">
        <v>1.6620851228571429</v>
      </c>
      <c r="Q223" s="135">
        <v>0</v>
      </c>
      <c r="R223" s="136">
        <v>0</v>
      </c>
    </row>
    <row r="224" spans="1:18">
      <c r="A224" s="99" t="s">
        <v>93</v>
      </c>
      <c r="B224" s="94">
        <f t="shared" si="59"/>
        <v>6</v>
      </c>
      <c r="C224" s="95">
        <f t="shared" si="60"/>
        <v>16.987154069376324</v>
      </c>
      <c r="D224" s="96">
        <f t="shared" si="61"/>
        <v>7.374297728573681E-2</v>
      </c>
      <c r="F224" s="97" t="s">
        <v>93</v>
      </c>
      <c r="G224" s="135">
        <v>2</v>
      </c>
      <c r="H224" s="136">
        <v>1.60429697</v>
      </c>
      <c r="I224" s="135">
        <v>3</v>
      </c>
      <c r="J224" s="136">
        <v>13.7</v>
      </c>
      <c r="K224" s="135">
        <v>0</v>
      </c>
      <c r="L224" s="136">
        <v>0</v>
      </c>
      <c r="M224" s="135">
        <v>0</v>
      </c>
      <c r="N224" s="136">
        <v>0</v>
      </c>
      <c r="O224" s="135">
        <v>1</v>
      </c>
      <c r="P224" s="136">
        <v>1.6828570993763252</v>
      </c>
      <c r="Q224" s="135">
        <v>0</v>
      </c>
      <c r="R224" s="136">
        <v>0</v>
      </c>
    </row>
    <row r="225" spans="1:18">
      <c r="A225" s="99" t="s">
        <v>94</v>
      </c>
      <c r="B225" s="94">
        <f t="shared" si="59"/>
        <v>4</v>
      </c>
      <c r="C225" s="95">
        <f t="shared" si="60"/>
        <v>1.7322023899999999</v>
      </c>
      <c r="D225" s="96">
        <f t="shared" si="61"/>
        <v>7.5196681550295059E-3</v>
      </c>
      <c r="F225" s="97" t="s">
        <v>94</v>
      </c>
      <c r="G225" s="135">
        <v>1</v>
      </c>
      <c r="H225" s="136">
        <v>1.0359255999999999</v>
      </c>
      <c r="I225" s="135">
        <v>0</v>
      </c>
      <c r="J225" s="136">
        <v>0</v>
      </c>
      <c r="K225" s="135">
        <v>0</v>
      </c>
      <c r="L225" s="136">
        <v>0</v>
      </c>
      <c r="M225" s="135">
        <v>0</v>
      </c>
      <c r="N225" s="136">
        <v>0</v>
      </c>
      <c r="O225" s="135">
        <v>3</v>
      </c>
      <c r="P225" s="136">
        <v>0.69627678999999998</v>
      </c>
      <c r="Q225" s="135">
        <v>0</v>
      </c>
      <c r="R225" s="136">
        <v>0</v>
      </c>
    </row>
    <row r="226" spans="1:18">
      <c r="A226" s="99" t="s">
        <v>95</v>
      </c>
      <c r="B226" s="94">
        <f t="shared" si="59"/>
        <v>3</v>
      </c>
      <c r="C226" s="95">
        <f t="shared" si="60"/>
        <v>3.9486165121996319</v>
      </c>
      <c r="D226" s="96">
        <f t="shared" si="61"/>
        <v>1.7141349079429023E-2</v>
      </c>
      <c r="F226" s="97" t="s">
        <v>95</v>
      </c>
      <c r="G226" s="135">
        <v>0</v>
      </c>
      <c r="H226" s="136">
        <v>0</v>
      </c>
      <c r="I226" s="135">
        <v>1</v>
      </c>
      <c r="J226" s="136">
        <v>1.5</v>
      </c>
      <c r="K226" s="135">
        <v>0</v>
      </c>
      <c r="L226" s="136">
        <v>0</v>
      </c>
      <c r="M226" s="135">
        <v>0</v>
      </c>
      <c r="N226" s="136">
        <v>0</v>
      </c>
      <c r="O226" s="135">
        <v>2</v>
      </c>
      <c r="P226" s="136">
        <v>2.4486165121996319</v>
      </c>
      <c r="Q226" s="135">
        <v>0</v>
      </c>
      <c r="R226" s="136">
        <v>0</v>
      </c>
    </row>
    <row r="227" spans="1:18">
      <c r="A227" s="99" t="s">
        <v>96</v>
      </c>
      <c r="B227" s="94">
        <f t="shared" si="59"/>
        <v>0</v>
      </c>
      <c r="C227" s="95">
        <f t="shared" si="60"/>
        <v>0.46343000000000001</v>
      </c>
      <c r="D227" s="96">
        <f t="shared" si="61"/>
        <v>2.011797139412401E-3</v>
      </c>
      <c r="F227" s="97" t="s">
        <v>96</v>
      </c>
      <c r="G227" s="135">
        <v>0</v>
      </c>
      <c r="H227" s="136">
        <v>0</v>
      </c>
      <c r="I227" s="135">
        <v>0</v>
      </c>
      <c r="J227" s="136">
        <v>0</v>
      </c>
      <c r="K227" s="135">
        <v>0</v>
      </c>
      <c r="L227" s="136">
        <v>0</v>
      </c>
      <c r="M227" s="135">
        <v>0</v>
      </c>
      <c r="N227" s="136">
        <v>0</v>
      </c>
      <c r="O227" s="135">
        <v>0</v>
      </c>
      <c r="P227" s="136">
        <v>0.46343000000000001</v>
      </c>
      <c r="Q227" s="135">
        <v>0</v>
      </c>
      <c r="R227" s="136">
        <v>0</v>
      </c>
    </row>
    <row r="228" spans="1:18">
      <c r="A228" s="99" t="s">
        <v>97</v>
      </c>
      <c r="B228" s="94">
        <f t="shared" si="59"/>
        <v>1</v>
      </c>
      <c r="C228" s="95">
        <f t="shared" si="60"/>
        <v>21.866368905565981</v>
      </c>
      <c r="D228" s="96">
        <f t="shared" si="61"/>
        <v>9.4924149091672766E-2</v>
      </c>
      <c r="F228" s="97" t="s">
        <v>97</v>
      </c>
      <c r="G228" s="135">
        <v>0</v>
      </c>
      <c r="H228" s="136">
        <v>0</v>
      </c>
      <c r="I228" s="135">
        <v>1</v>
      </c>
      <c r="J228" s="136">
        <v>21.6</v>
      </c>
      <c r="K228" s="135">
        <v>0</v>
      </c>
      <c r="L228" s="136">
        <v>0</v>
      </c>
      <c r="M228" s="135">
        <v>0</v>
      </c>
      <c r="N228" s="136">
        <v>0</v>
      </c>
      <c r="O228" s="135">
        <v>0</v>
      </c>
      <c r="P228" s="136">
        <v>0.26636890556597881</v>
      </c>
      <c r="Q228" s="135">
        <v>0</v>
      </c>
      <c r="R228" s="136">
        <v>0</v>
      </c>
    </row>
    <row r="229" spans="1:18">
      <c r="A229" s="99" t="s">
        <v>98</v>
      </c>
      <c r="B229" s="94">
        <f t="shared" si="59"/>
        <v>1</v>
      </c>
      <c r="C229" s="95">
        <f t="shared" si="60"/>
        <v>0.68999299999999997</v>
      </c>
      <c r="D229" s="96">
        <f t="shared" si="61"/>
        <v>2.9953303489514719E-3</v>
      </c>
      <c r="F229" s="97" t="s">
        <v>98</v>
      </c>
      <c r="G229" s="135">
        <v>0</v>
      </c>
      <c r="H229" s="136">
        <v>0</v>
      </c>
      <c r="I229" s="135">
        <v>0</v>
      </c>
      <c r="J229" s="136">
        <v>0</v>
      </c>
      <c r="K229" s="135">
        <v>0</v>
      </c>
      <c r="L229" s="136">
        <v>0</v>
      </c>
      <c r="M229" s="135">
        <v>0</v>
      </c>
      <c r="N229" s="136">
        <v>0</v>
      </c>
      <c r="O229" s="135">
        <v>1</v>
      </c>
      <c r="P229" s="136">
        <v>0.68999299999999997</v>
      </c>
      <c r="Q229" s="135">
        <v>0</v>
      </c>
      <c r="R229" s="136">
        <v>0</v>
      </c>
    </row>
    <row r="230" spans="1:18">
      <c r="A230" s="99" t="s">
        <v>99</v>
      </c>
      <c r="B230" s="94">
        <f t="shared" si="59"/>
        <v>19</v>
      </c>
      <c r="C230" s="95">
        <f t="shared" si="60"/>
        <v>33.034983795252622</v>
      </c>
      <c r="D230" s="96">
        <f t="shared" si="61"/>
        <v>0.14340825129970922</v>
      </c>
      <c r="F230" s="97" t="s">
        <v>99</v>
      </c>
      <c r="G230" s="135">
        <v>0</v>
      </c>
      <c r="H230" s="136">
        <v>0</v>
      </c>
      <c r="I230" s="135">
        <v>4</v>
      </c>
      <c r="J230" s="136">
        <v>18.5</v>
      </c>
      <c r="K230" s="135">
        <v>0</v>
      </c>
      <c r="L230" s="136">
        <v>0</v>
      </c>
      <c r="M230" s="135">
        <v>0</v>
      </c>
      <c r="N230" s="136">
        <v>0</v>
      </c>
      <c r="O230" s="135">
        <v>15</v>
      </c>
      <c r="P230" s="136">
        <v>14.534983795252623</v>
      </c>
      <c r="Q230" s="135">
        <v>0</v>
      </c>
      <c r="R230" s="136">
        <v>0</v>
      </c>
    </row>
    <row r="231" spans="1:18">
      <c r="A231" s="99" t="s">
        <v>100</v>
      </c>
      <c r="B231" s="94">
        <f t="shared" si="59"/>
        <v>11</v>
      </c>
      <c r="C231" s="95">
        <f t="shared" si="60"/>
        <v>39.418897909999998</v>
      </c>
      <c r="D231" s="96">
        <f t="shared" si="61"/>
        <v>0.17112147693098734</v>
      </c>
      <c r="F231" s="97" t="s">
        <v>100</v>
      </c>
      <c r="G231" s="135">
        <v>3</v>
      </c>
      <c r="H231" s="136">
        <v>14.29321129</v>
      </c>
      <c r="I231" s="135">
        <v>3</v>
      </c>
      <c r="J231" s="136">
        <v>23.4</v>
      </c>
      <c r="K231" s="135">
        <v>0</v>
      </c>
      <c r="L231" s="136">
        <v>0</v>
      </c>
      <c r="M231" s="135">
        <v>0</v>
      </c>
      <c r="N231" s="136">
        <v>0</v>
      </c>
      <c r="O231" s="135">
        <v>5</v>
      </c>
      <c r="P231" s="136">
        <v>1.7256866200000003</v>
      </c>
      <c r="Q231" s="135">
        <v>0</v>
      </c>
      <c r="R231" s="136">
        <v>0</v>
      </c>
    </row>
    <row r="232" spans="1:18">
      <c r="A232" s="99" t="s">
        <v>101</v>
      </c>
      <c r="B232" s="94">
        <f t="shared" si="59"/>
        <v>16</v>
      </c>
      <c r="C232" s="95">
        <f t="shared" si="60"/>
        <v>108.13912102820512</v>
      </c>
      <c r="D232" s="96">
        <f t="shared" si="61"/>
        <v>0.46944301047216297</v>
      </c>
      <c r="F232" s="97" t="s">
        <v>101</v>
      </c>
      <c r="G232" s="135">
        <v>2</v>
      </c>
      <c r="H232" s="136">
        <v>17.170059900000002</v>
      </c>
      <c r="I232" s="135">
        <v>8</v>
      </c>
      <c r="J232" s="136">
        <v>85.577156000000002</v>
      </c>
      <c r="K232" s="135">
        <v>0</v>
      </c>
      <c r="L232" s="136">
        <v>0</v>
      </c>
      <c r="M232" s="135">
        <v>0</v>
      </c>
      <c r="N232" s="136">
        <v>0</v>
      </c>
      <c r="O232" s="135">
        <v>6</v>
      </c>
      <c r="P232" s="136">
        <v>5.3919051282051278</v>
      </c>
      <c r="Q232" s="135">
        <v>0</v>
      </c>
      <c r="R232" s="136">
        <v>0</v>
      </c>
    </row>
    <row r="233" spans="1:18">
      <c r="A233" s="84" t="s">
        <v>108</v>
      </c>
      <c r="B233" s="85">
        <f>SUM(B234:B240)</f>
        <v>113</v>
      </c>
      <c r="C233" s="86">
        <f>SUM(C234:C240)</f>
        <v>6342.8301499999998</v>
      </c>
      <c r="D233" s="87">
        <f>SUM(D234:D240)</f>
        <v>1</v>
      </c>
      <c r="F233" s="84" t="s">
        <v>108</v>
      </c>
      <c r="G233" s="85">
        <f>SUM(G234:G240)</f>
        <v>81</v>
      </c>
      <c r="H233" s="86">
        <f t="shared" ref="H233:R233" si="62">SUM(H234:H240)</f>
        <v>6338.33</v>
      </c>
      <c r="I233" s="85">
        <f t="shared" si="62"/>
        <v>0</v>
      </c>
      <c r="J233" s="86">
        <f t="shared" si="62"/>
        <v>0</v>
      </c>
      <c r="K233" s="85">
        <f t="shared" si="62"/>
        <v>0</v>
      </c>
      <c r="L233" s="86">
        <f t="shared" si="62"/>
        <v>0</v>
      </c>
      <c r="M233" s="85">
        <f t="shared" si="62"/>
        <v>0</v>
      </c>
      <c r="N233" s="86">
        <f t="shared" si="62"/>
        <v>0</v>
      </c>
      <c r="O233" s="85">
        <f t="shared" si="62"/>
        <v>32</v>
      </c>
      <c r="P233" s="86">
        <f t="shared" si="62"/>
        <v>4.5001500000000005</v>
      </c>
      <c r="Q233" s="85">
        <f t="shared" si="62"/>
        <v>0</v>
      </c>
      <c r="R233" s="86">
        <f t="shared" si="62"/>
        <v>0</v>
      </c>
    </row>
    <row r="234" spans="1:18">
      <c r="A234" s="99" t="s">
        <v>91</v>
      </c>
      <c r="B234" s="94">
        <f t="shared" ref="B234:C240" si="63">G234+I234+K234+M234+O234</f>
        <v>16</v>
      </c>
      <c r="C234" s="95">
        <f t="shared" si="63"/>
        <v>175.93350000000001</v>
      </c>
      <c r="D234" s="96">
        <f>C234/$C$233</f>
        <v>2.7737381553564068E-2</v>
      </c>
      <c r="F234" s="97" t="s">
        <v>91</v>
      </c>
      <c r="G234" s="135">
        <v>10</v>
      </c>
      <c r="H234" s="136">
        <v>174.9</v>
      </c>
      <c r="I234" s="135">
        <v>0</v>
      </c>
      <c r="J234" s="136">
        <v>0</v>
      </c>
      <c r="K234" s="135">
        <v>0</v>
      </c>
      <c r="L234" s="136">
        <v>0</v>
      </c>
      <c r="M234" s="135">
        <v>0</v>
      </c>
      <c r="N234" s="136">
        <v>0</v>
      </c>
      <c r="O234" s="135">
        <v>6</v>
      </c>
      <c r="P234" s="136">
        <v>1.0335000000000001</v>
      </c>
      <c r="Q234" s="135">
        <v>0</v>
      </c>
      <c r="R234" s="136">
        <v>0</v>
      </c>
    </row>
    <row r="235" spans="1:18">
      <c r="A235" s="99" t="s">
        <v>92</v>
      </c>
      <c r="B235" s="94">
        <f t="shared" si="63"/>
        <v>6</v>
      </c>
      <c r="C235" s="95">
        <f t="shared" si="63"/>
        <v>104.875</v>
      </c>
      <c r="D235" s="96">
        <f t="shared" ref="D235:D240" si="64">C235/$C$233</f>
        <v>1.6534417211219191E-2</v>
      </c>
      <c r="F235" s="97" t="s">
        <v>92</v>
      </c>
      <c r="G235" s="135">
        <v>4</v>
      </c>
      <c r="H235" s="136">
        <v>104.7</v>
      </c>
      <c r="I235" s="135">
        <v>0</v>
      </c>
      <c r="J235" s="136">
        <v>0</v>
      </c>
      <c r="K235" s="135">
        <v>0</v>
      </c>
      <c r="L235" s="136">
        <v>0</v>
      </c>
      <c r="M235" s="135">
        <v>0</v>
      </c>
      <c r="N235" s="136">
        <v>0</v>
      </c>
      <c r="O235" s="135">
        <v>2</v>
      </c>
      <c r="P235" s="136">
        <v>0.17499999999999999</v>
      </c>
      <c r="Q235" s="135">
        <v>0</v>
      </c>
      <c r="R235" s="136">
        <v>0</v>
      </c>
    </row>
    <row r="236" spans="1:18">
      <c r="A236" s="99" t="s">
        <v>93</v>
      </c>
      <c r="B236" s="94">
        <f t="shared" si="63"/>
        <v>13</v>
      </c>
      <c r="C236" s="95">
        <f t="shared" si="63"/>
        <v>198.09100000000001</v>
      </c>
      <c r="D236" s="96">
        <f t="shared" si="64"/>
        <v>3.1230695969369449E-2</v>
      </c>
      <c r="F236" s="97" t="s">
        <v>93</v>
      </c>
      <c r="G236" s="135">
        <v>8</v>
      </c>
      <c r="H236" s="136">
        <v>197.38</v>
      </c>
      <c r="I236" s="135">
        <v>0</v>
      </c>
      <c r="J236" s="136">
        <v>0</v>
      </c>
      <c r="K236" s="135">
        <v>0</v>
      </c>
      <c r="L236" s="136">
        <v>0</v>
      </c>
      <c r="M236" s="135">
        <v>0</v>
      </c>
      <c r="N236" s="136">
        <v>0</v>
      </c>
      <c r="O236" s="135">
        <v>5</v>
      </c>
      <c r="P236" s="136">
        <v>0.71100000000000008</v>
      </c>
      <c r="Q236" s="135">
        <v>0</v>
      </c>
      <c r="R236" s="136">
        <v>0</v>
      </c>
    </row>
    <row r="237" spans="1:18">
      <c r="A237" s="99" t="s">
        <v>94</v>
      </c>
      <c r="B237" s="94">
        <f t="shared" si="63"/>
        <v>21</v>
      </c>
      <c r="C237" s="95">
        <f t="shared" si="63"/>
        <v>4700.3500000000004</v>
      </c>
      <c r="D237" s="96">
        <f t="shared" si="64"/>
        <v>0.74104932480337671</v>
      </c>
      <c r="F237" s="97" t="s">
        <v>94</v>
      </c>
      <c r="G237" s="135">
        <v>21</v>
      </c>
      <c r="H237" s="136">
        <v>4700</v>
      </c>
      <c r="I237" s="135">
        <v>0</v>
      </c>
      <c r="J237" s="136">
        <v>0</v>
      </c>
      <c r="K237" s="135">
        <v>0</v>
      </c>
      <c r="L237" s="136">
        <v>0</v>
      </c>
      <c r="M237" s="135">
        <v>0</v>
      </c>
      <c r="N237" s="136">
        <v>0</v>
      </c>
      <c r="O237" s="135">
        <v>0</v>
      </c>
      <c r="P237" s="136">
        <v>0.35000000000000003</v>
      </c>
      <c r="Q237" s="135">
        <v>0</v>
      </c>
      <c r="R237" s="136">
        <v>0</v>
      </c>
    </row>
    <row r="238" spans="1:18">
      <c r="A238" s="99" t="s">
        <v>96</v>
      </c>
      <c r="B238" s="94">
        <f t="shared" si="63"/>
        <v>10</v>
      </c>
      <c r="C238" s="95">
        <f t="shared" si="63"/>
        <v>127.792</v>
      </c>
      <c r="D238" s="96">
        <f t="shared" si="64"/>
        <v>2.0147473127591159E-2</v>
      </c>
      <c r="F238" s="97" t="s">
        <v>96</v>
      </c>
      <c r="G238" s="135">
        <v>8</v>
      </c>
      <c r="H238" s="136">
        <v>127.5</v>
      </c>
      <c r="I238" s="135">
        <v>0</v>
      </c>
      <c r="J238" s="136">
        <v>0</v>
      </c>
      <c r="K238" s="135">
        <v>0</v>
      </c>
      <c r="L238" s="136">
        <v>0</v>
      </c>
      <c r="M238" s="135">
        <v>0</v>
      </c>
      <c r="N238" s="136">
        <v>0</v>
      </c>
      <c r="O238" s="135">
        <v>2</v>
      </c>
      <c r="P238" s="136">
        <v>0.29200000000000004</v>
      </c>
      <c r="Q238" s="135">
        <v>0</v>
      </c>
      <c r="R238" s="136">
        <v>0</v>
      </c>
    </row>
    <row r="239" spans="1:18">
      <c r="A239" s="99" t="s">
        <v>100</v>
      </c>
      <c r="B239" s="94">
        <f t="shared" si="63"/>
        <v>16</v>
      </c>
      <c r="C239" s="95">
        <f t="shared" si="63"/>
        <v>460.27280000000002</v>
      </c>
      <c r="D239" s="96">
        <f t="shared" si="64"/>
        <v>7.2565840344944441E-2</v>
      </c>
      <c r="F239" s="97" t="s">
        <v>100</v>
      </c>
      <c r="G239" s="135">
        <v>11</v>
      </c>
      <c r="H239" s="136">
        <v>459.55</v>
      </c>
      <c r="I239" s="135">
        <v>0</v>
      </c>
      <c r="J239" s="136">
        <v>0</v>
      </c>
      <c r="K239" s="135">
        <v>0</v>
      </c>
      <c r="L239" s="136">
        <v>0</v>
      </c>
      <c r="M239" s="135">
        <v>0</v>
      </c>
      <c r="N239" s="136">
        <v>0</v>
      </c>
      <c r="O239" s="135">
        <v>5</v>
      </c>
      <c r="P239" s="136">
        <v>0.72279999999999989</v>
      </c>
      <c r="Q239" s="135">
        <v>0</v>
      </c>
      <c r="R239" s="136">
        <v>0</v>
      </c>
    </row>
    <row r="240" spans="1:18">
      <c r="A240" s="99" t="s">
        <v>101</v>
      </c>
      <c r="B240" s="94">
        <f t="shared" si="63"/>
        <v>31</v>
      </c>
      <c r="C240" s="95">
        <f t="shared" si="63"/>
        <v>575.51585</v>
      </c>
      <c r="D240" s="96">
        <f t="shared" si="64"/>
        <v>9.073486698993509E-2</v>
      </c>
      <c r="F240" s="97" t="s">
        <v>101</v>
      </c>
      <c r="G240" s="135">
        <v>19</v>
      </c>
      <c r="H240" s="136">
        <v>574.29999999999995</v>
      </c>
      <c r="I240" s="135">
        <v>0</v>
      </c>
      <c r="J240" s="136">
        <v>0</v>
      </c>
      <c r="K240" s="135">
        <v>0</v>
      </c>
      <c r="L240" s="136">
        <v>0</v>
      </c>
      <c r="M240" s="135">
        <v>0</v>
      </c>
      <c r="N240" s="136">
        <v>0</v>
      </c>
      <c r="O240" s="135">
        <v>12</v>
      </c>
      <c r="P240" s="136">
        <v>1.2158500000000001</v>
      </c>
      <c r="Q240" s="135">
        <v>0</v>
      </c>
      <c r="R240" s="136">
        <v>0</v>
      </c>
    </row>
    <row r="241" spans="1:18">
      <c r="A241" s="84" t="s">
        <v>30</v>
      </c>
      <c r="B241" s="85">
        <f>B242+B254</f>
        <v>227</v>
      </c>
      <c r="C241" s="86">
        <f>C242+C254</f>
        <v>2551.18872582737</v>
      </c>
      <c r="D241" s="87">
        <f>D242+D254</f>
        <v>0.99999999999999989</v>
      </c>
      <c r="F241" s="84" t="s">
        <v>30</v>
      </c>
      <c r="G241" s="85">
        <f>SUM(G243:G253)</f>
        <v>57</v>
      </c>
      <c r="H241" s="86">
        <f t="shared" ref="H241:R241" si="65">SUM(H243:H253)</f>
        <v>1512.2252792700001</v>
      </c>
      <c r="I241" s="85">
        <f t="shared" si="65"/>
        <v>55</v>
      </c>
      <c r="J241" s="86">
        <f t="shared" si="65"/>
        <v>955.01199999999994</v>
      </c>
      <c r="K241" s="85">
        <f t="shared" si="65"/>
        <v>0</v>
      </c>
      <c r="L241" s="86">
        <f t="shared" si="65"/>
        <v>0</v>
      </c>
      <c r="M241" s="85">
        <f t="shared" si="65"/>
        <v>0</v>
      </c>
      <c r="N241" s="86">
        <f t="shared" si="65"/>
        <v>0</v>
      </c>
      <c r="O241" s="85">
        <f t="shared" si="65"/>
        <v>112</v>
      </c>
      <c r="P241" s="86">
        <f t="shared" si="65"/>
        <v>82.51505308736958</v>
      </c>
      <c r="Q241" s="85">
        <f t="shared" si="65"/>
        <v>3</v>
      </c>
      <c r="R241" s="86">
        <f t="shared" si="65"/>
        <v>1.4363934700000001</v>
      </c>
    </row>
    <row r="242" spans="1:18">
      <c r="A242" s="88" t="s">
        <v>90</v>
      </c>
      <c r="B242" s="89">
        <f>SUM(B243:B253)</f>
        <v>224</v>
      </c>
      <c r="C242" s="90">
        <f>SUM(C243:C253)</f>
        <v>2549.7523323573701</v>
      </c>
      <c r="D242" s="91">
        <f>SUM(D243:D253)</f>
        <v>0.99943697090871453</v>
      </c>
      <c r="F242" s="92"/>
      <c r="G242" s="89"/>
      <c r="H242" s="90"/>
      <c r="I242" s="89"/>
      <c r="J242" s="90"/>
      <c r="K242" s="89"/>
      <c r="L242" s="90"/>
      <c r="M242" s="89"/>
      <c r="N242" s="90"/>
      <c r="O242" s="89"/>
      <c r="P242" s="90"/>
      <c r="Q242" s="89"/>
      <c r="R242" s="90"/>
    </row>
    <row r="243" spans="1:18">
      <c r="A243" s="93" t="s">
        <v>91</v>
      </c>
      <c r="B243" s="94">
        <f t="shared" ref="B243:B253" si="66">G243+I243+K243+M243+O243</f>
        <v>31</v>
      </c>
      <c r="C243" s="95">
        <f t="shared" ref="C243:C253" si="67">H243+J243+L243+N243+P243</f>
        <v>214.18806987679767</v>
      </c>
      <c r="D243" s="96">
        <f>C243/$C$241</f>
        <v>8.3956183918669061E-2</v>
      </c>
      <c r="F243" s="97" t="s">
        <v>91</v>
      </c>
      <c r="G243" s="135">
        <v>6</v>
      </c>
      <c r="H243" s="136">
        <v>135.99892813</v>
      </c>
      <c r="I243" s="135">
        <v>6</v>
      </c>
      <c r="J243" s="136">
        <v>62.5</v>
      </c>
      <c r="K243" s="135">
        <v>0</v>
      </c>
      <c r="L243" s="136">
        <v>0</v>
      </c>
      <c r="M243" s="135">
        <v>0</v>
      </c>
      <c r="N243" s="136">
        <v>0</v>
      </c>
      <c r="O243" s="135">
        <v>19</v>
      </c>
      <c r="P243" s="136">
        <v>15.689141746797665</v>
      </c>
      <c r="Q243" s="135">
        <v>0</v>
      </c>
      <c r="R243" s="136">
        <v>0</v>
      </c>
    </row>
    <row r="244" spans="1:18">
      <c r="A244" s="93" t="s">
        <v>92</v>
      </c>
      <c r="B244" s="94">
        <f t="shared" si="66"/>
        <v>19</v>
      </c>
      <c r="C244" s="95">
        <f t="shared" si="67"/>
        <v>137.14683170999999</v>
      </c>
      <c r="D244" s="96">
        <f t="shared" ref="D244:D253" si="68">C244/$C$241</f>
        <v>5.3758011048564126E-2</v>
      </c>
      <c r="F244" s="97" t="s">
        <v>92</v>
      </c>
      <c r="G244" s="135">
        <v>3</v>
      </c>
      <c r="H244" s="136">
        <v>42.744608710000001</v>
      </c>
      <c r="I244" s="135">
        <v>8</v>
      </c>
      <c r="J244" s="136">
        <v>88.5</v>
      </c>
      <c r="K244" s="135">
        <v>0</v>
      </c>
      <c r="L244" s="136">
        <v>0</v>
      </c>
      <c r="M244" s="135">
        <v>0</v>
      </c>
      <c r="N244" s="136">
        <v>0</v>
      </c>
      <c r="O244" s="135">
        <v>8</v>
      </c>
      <c r="P244" s="136">
        <v>5.9022229999999993</v>
      </c>
      <c r="Q244" s="135">
        <v>0</v>
      </c>
      <c r="R244" s="136">
        <v>0</v>
      </c>
    </row>
    <row r="245" spans="1:18">
      <c r="A245" s="93" t="s">
        <v>93</v>
      </c>
      <c r="B245" s="94">
        <f t="shared" si="66"/>
        <v>19</v>
      </c>
      <c r="C245" s="95">
        <f t="shared" si="67"/>
        <v>500.80596329950617</v>
      </c>
      <c r="D245" s="96">
        <f t="shared" si="68"/>
        <v>0.19630298543949976</v>
      </c>
      <c r="F245" s="97" t="s">
        <v>93</v>
      </c>
      <c r="G245" s="135">
        <v>7</v>
      </c>
      <c r="H245" s="136">
        <v>268.59875588</v>
      </c>
      <c r="I245" s="135">
        <v>7</v>
      </c>
      <c r="J245" s="136">
        <v>228.25</v>
      </c>
      <c r="K245" s="135">
        <v>0</v>
      </c>
      <c r="L245" s="136">
        <v>0</v>
      </c>
      <c r="M245" s="135">
        <v>0</v>
      </c>
      <c r="N245" s="136">
        <v>0</v>
      </c>
      <c r="O245" s="135">
        <v>5</v>
      </c>
      <c r="P245" s="136">
        <v>3.9572074195061955</v>
      </c>
      <c r="Q245" s="135">
        <v>0</v>
      </c>
      <c r="R245" s="136">
        <v>0</v>
      </c>
    </row>
    <row r="246" spans="1:18">
      <c r="A246" s="93" t="s">
        <v>94</v>
      </c>
      <c r="B246" s="94">
        <f t="shared" si="66"/>
        <v>22</v>
      </c>
      <c r="C246" s="95">
        <f t="shared" si="67"/>
        <v>202.70339103030304</v>
      </c>
      <c r="D246" s="96">
        <f t="shared" si="68"/>
        <v>7.9454486835177113E-2</v>
      </c>
      <c r="F246" s="97" t="s">
        <v>94</v>
      </c>
      <c r="G246" s="135">
        <v>8</v>
      </c>
      <c r="H246" s="136">
        <v>100.67414649999999</v>
      </c>
      <c r="I246" s="135">
        <v>5</v>
      </c>
      <c r="J246" s="136">
        <v>93.201999999999998</v>
      </c>
      <c r="K246" s="135">
        <v>0</v>
      </c>
      <c r="L246" s="136">
        <v>0</v>
      </c>
      <c r="M246" s="135">
        <v>0</v>
      </c>
      <c r="N246" s="136">
        <v>0</v>
      </c>
      <c r="O246" s="135">
        <v>9</v>
      </c>
      <c r="P246" s="136">
        <v>8.8272445303030302</v>
      </c>
      <c r="Q246" s="135">
        <v>3</v>
      </c>
      <c r="R246" s="136">
        <v>0.71819673500000003</v>
      </c>
    </row>
    <row r="247" spans="1:18">
      <c r="A247" s="93" t="s">
        <v>95</v>
      </c>
      <c r="B247" s="94">
        <f t="shared" si="66"/>
        <v>14</v>
      </c>
      <c r="C247" s="95">
        <f t="shared" si="67"/>
        <v>92.849659740868361</v>
      </c>
      <c r="D247" s="96">
        <f t="shared" si="68"/>
        <v>3.6394665279322488E-2</v>
      </c>
      <c r="F247" s="97" t="s">
        <v>95</v>
      </c>
      <c r="G247" s="135">
        <v>4</v>
      </c>
      <c r="H247" s="136">
        <v>43.711643649999999</v>
      </c>
      <c r="I247" s="135">
        <v>5</v>
      </c>
      <c r="J247" s="136">
        <v>44.5</v>
      </c>
      <c r="K247" s="135">
        <v>0</v>
      </c>
      <c r="L247" s="136">
        <v>0</v>
      </c>
      <c r="M247" s="135">
        <v>0</v>
      </c>
      <c r="N247" s="136">
        <v>0</v>
      </c>
      <c r="O247" s="135">
        <v>5</v>
      </c>
      <c r="P247" s="136">
        <v>4.6380160908683621</v>
      </c>
      <c r="Q247" s="135">
        <v>0</v>
      </c>
      <c r="R247" s="136">
        <v>0</v>
      </c>
    </row>
    <row r="248" spans="1:18">
      <c r="A248" s="93" t="s">
        <v>96</v>
      </c>
      <c r="B248" s="94">
        <f t="shared" si="66"/>
        <v>6</v>
      </c>
      <c r="C248" s="95">
        <f t="shared" si="67"/>
        <v>27.357664969999998</v>
      </c>
      <c r="D248" s="96">
        <f t="shared" si="68"/>
        <v>1.0723497126276967E-2</v>
      </c>
      <c r="F248" s="97" t="s">
        <v>96</v>
      </c>
      <c r="G248" s="135">
        <v>2</v>
      </c>
      <c r="H248" s="136">
        <v>22.894628179999998</v>
      </c>
      <c r="I248" s="135">
        <v>1</v>
      </c>
      <c r="J248" s="136">
        <v>2</v>
      </c>
      <c r="K248" s="135">
        <v>0</v>
      </c>
      <c r="L248" s="136">
        <v>0</v>
      </c>
      <c r="M248" s="135">
        <v>0</v>
      </c>
      <c r="N248" s="136">
        <v>0</v>
      </c>
      <c r="O248" s="135">
        <v>3</v>
      </c>
      <c r="P248" s="136">
        <v>2.4630367899999994</v>
      </c>
      <c r="Q248" s="135">
        <v>0</v>
      </c>
      <c r="R248" s="136">
        <v>0.71819673500000003</v>
      </c>
    </row>
    <row r="249" spans="1:18">
      <c r="A249" s="93" t="s">
        <v>97</v>
      </c>
      <c r="B249" s="94">
        <f t="shared" si="66"/>
        <v>0</v>
      </c>
      <c r="C249" s="95">
        <f t="shared" si="67"/>
        <v>0.5794784510205242</v>
      </c>
      <c r="D249" s="96">
        <f t="shared" si="68"/>
        <v>2.2714056594640795E-4</v>
      </c>
      <c r="F249" s="97" t="s">
        <v>97</v>
      </c>
      <c r="G249" s="135">
        <v>0</v>
      </c>
      <c r="H249" s="136">
        <v>0</v>
      </c>
      <c r="I249" s="135">
        <v>0</v>
      </c>
      <c r="J249" s="136">
        <v>0</v>
      </c>
      <c r="K249" s="135">
        <v>0</v>
      </c>
      <c r="L249" s="136">
        <v>0</v>
      </c>
      <c r="M249" s="135">
        <v>0</v>
      </c>
      <c r="N249" s="136">
        <v>0</v>
      </c>
      <c r="O249" s="135">
        <v>0</v>
      </c>
      <c r="P249" s="136">
        <v>0.5794784510205242</v>
      </c>
      <c r="Q249" s="135">
        <v>0</v>
      </c>
      <c r="R249" s="136">
        <v>0</v>
      </c>
    </row>
    <row r="250" spans="1:18">
      <c r="A250" s="93" t="s">
        <v>98</v>
      </c>
      <c r="B250" s="94">
        <f t="shared" si="66"/>
        <v>13</v>
      </c>
      <c r="C250" s="95">
        <f t="shared" si="67"/>
        <v>113.34722826000002</v>
      </c>
      <c r="D250" s="96">
        <f t="shared" si="68"/>
        <v>4.4429182017195E-2</v>
      </c>
      <c r="F250" s="97" t="s">
        <v>98</v>
      </c>
      <c r="G250" s="135">
        <v>5</v>
      </c>
      <c r="H250" s="136">
        <v>95.054764260000013</v>
      </c>
      <c r="I250" s="135">
        <v>2</v>
      </c>
      <c r="J250" s="136">
        <v>15.4</v>
      </c>
      <c r="K250" s="135">
        <v>0</v>
      </c>
      <c r="L250" s="136">
        <v>0</v>
      </c>
      <c r="M250" s="135">
        <v>0</v>
      </c>
      <c r="N250" s="136">
        <v>0</v>
      </c>
      <c r="O250" s="135">
        <v>6</v>
      </c>
      <c r="P250" s="136">
        <v>2.8924639999999999</v>
      </c>
      <c r="Q250" s="135">
        <v>0</v>
      </c>
      <c r="R250" s="136">
        <v>0</v>
      </c>
    </row>
    <row r="251" spans="1:18">
      <c r="A251" s="93" t="s">
        <v>99</v>
      </c>
      <c r="B251" s="94">
        <f t="shared" si="66"/>
        <v>57</v>
      </c>
      <c r="C251" s="95">
        <f t="shared" si="67"/>
        <v>503.79664246400199</v>
      </c>
      <c r="D251" s="96">
        <f t="shared" si="68"/>
        <v>0.19747525432506641</v>
      </c>
      <c r="F251" s="97" t="s">
        <v>99</v>
      </c>
      <c r="G251" s="135">
        <v>8</v>
      </c>
      <c r="H251" s="136">
        <v>271.72675146</v>
      </c>
      <c r="I251" s="135">
        <v>9</v>
      </c>
      <c r="J251" s="136">
        <v>209.2</v>
      </c>
      <c r="K251" s="135">
        <v>0</v>
      </c>
      <c r="L251" s="136">
        <v>0</v>
      </c>
      <c r="M251" s="135">
        <v>0</v>
      </c>
      <c r="N251" s="136">
        <v>0</v>
      </c>
      <c r="O251" s="135">
        <v>40</v>
      </c>
      <c r="P251" s="136">
        <v>22.869891004002003</v>
      </c>
      <c r="Q251" s="135">
        <v>0</v>
      </c>
      <c r="R251" s="136">
        <v>0</v>
      </c>
    </row>
    <row r="252" spans="1:18">
      <c r="A252" s="93" t="s">
        <v>100</v>
      </c>
      <c r="B252" s="94">
        <f t="shared" si="66"/>
        <v>33</v>
      </c>
      <c r="C252" s="95">
        <f t="shared" si="67"/>
        <v>654.74160838666671</v>
      </c>
      <c r="D252" s="96">
        <f t="shared" si="68"/>
        <v>0.25664177712855368</v>
      </c>
      <c r="F252" s="97" t="s">
        <v>100</v>
      </c>
      <c r="G252" s="135">
        <v>12</v>
      </c>
      <c r="H252" s="136">
        <v>490.33646346</v>
      </c>
      <c r="I252" s="135">
        <v>7</v>
      </c>
      <c r="J252" s="136">
        <v>153.12</v>
      </c>
      <c r="K252" s="135">
        <v>0</v>
      </c>
      <c r="L252" s="136">
        <v>0</v>
      </c>
      <c r="M252" s="135">
        <v>0</v>
      </c>
      <c r="N252" s="136">
        <v>0</v>
      </c>
      <c r="O252" s="135">
        <v>14</v>
      </c>
      <c r="P252" s="136">
        <v>11.285144926666668</v>
      </c>
      <c r="Q252" s="135">
        <v>0</v>
      </c>
      <c r="R252" s="136">
        <v>0</v>
      </c>
    </row>
    <row r="253" spans="1:18">
      <c r="A253" s="93" t="s">
        <v>101</v>
      </c>
      <c r="B253" s="94">
        <f t="shared" si="66"/>
        <v>10</v>
      </c>
      <c r="C253" s="95">
        <f t="shared" si="67"/>
        <v>102.23579416820513</v>
      </c>
      <c r="D253" s="96">
        <f t="shared" si="68"/>
        <v>4.0073787224443491E-2</v>
      </c>
      <c r="F253" s="97" t="s">
        <v>101</v>
      </c>
      <c r="G253" s="135">
        <v>2</v>
      </c>
      <c r="H253" s="136">
        <v>40.484589040000003</v>
      </c>
      <c r="I253" s="135">
        <v>5</v>
      </c>
      <c r="J253" s="136">
        <v>58.34</v>
      </c>
      <c r="K253" s="135">
        <v>0</v>
      </c>
      <c r="L253" s="136">
        <v>0</v>
      </c>
      <c r="M253" s="135">
        <v>0</v>
      </c>
      <c r="N253" s="136">
        <v>0</v>
      </c>
      <c r="O253" s="135">
        <v>3</v>
      </c>
      <c r="P253" s="136">
        <v>3.4112051282051277</v>
      </c>
      <c r="Q253" s="135">
        <v>0</v>
      </c>
      <c r="R253" s="136">
        <v>0</v>
      </c>
    </row>
    <row r="254" spans="1:18" ht="17.25">
      <c r="A254" s="104" t="s">
        <v>103</v>
      </c>
      <c r="B254" s="89">
        <f>SUM(B255:B256)</f>
        <v>3</v>
      </c>
      <c r="C254" s="90">
        <f>SUM(C255:C256)</f>
        <v>1.4363934700000001</v>
      </c>
      <c r="D254" s="91">
        <f>SUM(D255:D256)</f>
        <v>5.6302909128534446E-4</v>
      </c>
      <c r="E254" s="123"/>
      <c r="F254" s="97"/>
      <c r="G254" s="135"/>
      <c r="H254" s="136"/>
      <c r="I254" s="135"/>
      <c r="J254" s="136"/>
      <c r="K254" s="135"/>
      <c r="L254" s="136"/>
      <c r="M254" s="135"/>
      <c r="N254" s="136"/>
      <c r="O254" s="135"/>
      <c r="P254" s="136"/>
      <c r="Q254" s="135"/>
      <c r="R254" s="136"/>
    </row>
    <row r="255" spans="1:18">
      <c r="A255" s="93" t="s">
        <v>94</v>
      </c>
      <c r="B255" s="94">
        <f>Q246</f>
        <v>3</v>
      </c>
      <c r="C255" s="95">
        <f>R246</f>
        <v>0.71819673500000003</v>
      </c>
      <c r="D255" s="96">
        <f>C255/$C$241</f>
        <v>2.8151454564267223E-4</v>
      </c>
      <c r="F255" s="97"/>
      <c r="G255" s="135"/>
      <c r="H255" s="136"/>
      <c r="I255" s="135"/>
      <c r="J255" s="136"/>
      <c r="K255" s="135"/>
      <c r="L255" s="136"/>
      <c r="M255" s="135"/>
      <c r="N255" s="136"/>
      <c r="O255" s="135"/>
      <c r="P255" s="136"/>
      <c r="Q255" s="135"/>
      <c r="R255" s="136"/>
    </row>
    <row r="256" spans="1:18">
      <c r="A256" s="93" t="s">
        <v>96</v>
      </c>
      <c r="B256" s="94">
        <f>Q248</f>
        <v>0</v>
      </c>
      <c r="C256" s="95">
        <f>R248</f>
        <v>0.71819673500000003</v>
      </c>
      <c r="D256" s="96">
        <f>C256/$C$241</f>
        <v>2.8151454564267223E-4</v>
      </c>
      <c r="F256" s="97"/>
      <c r="G256" s="135"/>
      <c r="H256" s="136"/>
      <c r="I256" s="135"/>
      <c r="J256" s="136"/>
      <c r="K256" s="135"/>
      <c r="L256" s="136"/>
      <c r="M256" s="135"/>
      <c r="N256" s="136"/>
      <c r="O256" s="135"/>
      <c r="P256" s="136"/>
      <c r="Q256" s="135"/>
      <c r="R256" s="136"/>
    </row>
    <row r="257" spans="1:18">
      <c r="A257" s="84" t="s">
        <v>31</v>
      </c>
      <c r="B257" s="85">
        <f>SUM(B258:B268)</f>
        <v>437</v>
      </c>
      <c r="C257" s="86">
        <f>SUM(C258:C268)</f>
        <v>3008.3503422605045</v>
      </c>
      <c r="D257" s="87">
        <f>SUM(D258:D268)</f>
        <v>1</v>
      </c>
      <c r="F257" s="84" t="s">
        <v>31</v>
      </c>
      <c r="G257" s="85">
        <f>SUM(G258:G268)</f>
        <v>98</v>
      </c>
      <c r="H257" s="86">
        <f t="shared" ref="H257:R257" si="69">SUM(H258:H268)</f>
        <v>1947.7045691799999</v>
      </c>
      <c r="I257" s="85">
        <f t="shared" si="69"/>
        <v>59</v>
      </c>
      <c r="J257" s="86">
        <f t="shared" si="69"/>
        <v>821.95665815000007</v>
      </c>
      <c r="K257" s="85">
        <f t="shared" si="69"/>
        <v>0</v>
      </c>
      <c r="L257" s="86">
        <f t="shared" si="69"/>
        <v>0</v>
      </c>
      <c r="M257" s="85">
        <f t="shared" si="69"/>
        <v>1</v>
      </c>
      <c r="N257" s="86">
        <f t="shared" si="69"/>
        <v>50</v>
      </c>
      <c r="O257" s="85">
        <f t="shared" si="69"/>
        <v>279</v>
      </c>
      <c r="P257" s="86">
        <f t="shared" si="69"/>
        <v>188.68911493050479</v>
      </c>
      <c r="Q257" s="85">
        <f t="shared" si="69"/>
        <v>0</v>
      </c>
      <c r="R257" s="86">
        <f t="shared" si="69"/>
        <v>0</v>
      </c>
    </row>
    <row r="258" spans="1:18">
      <c r="A258" s="99" t="s">
        <v>91</v>
      </c>
      <c r="B258" s="94">
        <f t="shared" ref="B258:B268" si="70">G258+I258+K258+M258+O258</f>
        <v>99</v>
      </c>
      <c r="C258" s="95">
        <f t="shared" ref="C258:C268" si="71">H258+J258+L258+N258+P258</f>
        <v>574.02448751000009</v>
      </c>
      <c r="D258" s="96">
        <f>C258/$C$257</f>
        <v>0.19081038516234528</v>
      </c>
      <c r="F258" s="97" t="s">
        <v>91</v>
      </c>
      <c r="G258" s="135">
        <v>21</v>
      </c>
      <c r="H258" s="136">
        <v>328.61074736000006</v>
      </c>
      <c r="I258" s="135">
        <v>17</v>
      </c>
      <c r="J258" s="136">
        <v>199.06665814999999</v>
      </c>
      <c r="K258" s="135">
        <v>0</v>
      </c>
      <c r="L258" s="136">
        <v>0</v>
      </c>
      <c r="M258" s="135">
        <v>0</v>
      </c>
      <c r="N258" s="136">
        <v>0</v>
      </c>
      <c r="O258" s="135">
        <v>61</v>
      </c>
      <c r="P258" s="136">
        <v>46.347082000000015</v>
      </c>
      <c r="Q258" s="135">
        <v>0</v>
      </c>
      <c r="R258" s="136">
        <v>0</v>
      </c>
    </row>
    <row r="259" spans="1:18">
      <c r="A259" s="99" t="s">
        <v>92</v>
      </c>
      <c r="B259" s="94">
        <f t="shared" si="70"/>
        <v>39</v>
      </c>
      <c r="C259" s="95">
        <f t="shared" si="71"/>
        <v>316.11023666</v>
      </c>
      <c r="D259" s="96">
        <f t="shared" ref="D259:D268" si="72">C259/$C$257</f>
        <v>0.10507760090949766</v>
      </c>
      <c r="F259" s="97" t="s">
        <v>92</v>
      </c>
      <c r="G259" s="135">
        <v>9</v>
      </c>
      <c r="H259" s="136">
        <v>159.38023666000001</v>
      </c>
      <c r="I259" s="135">
        <v>6</v>
      </c>
      <c r="J259" s="136">
        <v>138.93</v>
      </c>
      <c r="K259" s="135">
        <v>0</v>
      </c>
      <c r="L259" s="136">
        <v>0</v>
      </c>
      <c r="M259" s="135">
        <v>0</v>
      </c>
      <c r="N259" s="136">
        <v>0</v>
      </c>
      <c r="O259" s="135">
        <v>24</v>
      </c>
      <c r="P259" s="136">
        <v>17.8</v>
      </c>
      <c r="Q259" s="135">
        <v>0</v>
      </c>
      <c r="R259" s="136">
        <v>0</v>
      </c>
    </row>
    <row r="260" spans="1:18">
      <c r="A260" s="99" t="s">
        <v>93</v>
      </c>
      <c r="B260" s="94">
        <f t="shared" si="70"/>
        <v>50</v>
      </c>
      <c r="C260" s="95">
        <f t="shared" si="71"/>
        <v>559.43431797223343</v>
      </c>
      <c r="D260" s="96">
        <f t="shared" si="72"/>
        <v>0.18596049473143109</v>
      </c>
      <c r="F260" s="97" t="s">
        <v>93</v>
      </c>
      <c r="G260" s="135">
        <v>18</v>
      </c>
      <c r="H260" s="136">
        <v>468.13389127999994</v>
      </c>
      <c r="I260" s="135">
        <v>1</v>
      </c>
      <c r="J260" s="136">
        <v>20</v>
      </c>
      <c r="K260" s="135">
        <v>0</v>
      </c>
      <c r="L260" s="136">
        <v>0</v>
      </c>
      <c r="M260" s="135">
        <v>1</v>
      </c>
      <c r="N260" s="136">
        <v>50</v>
      </c>
      <c r="O260" s="135">
        <v>30</v>
      </c>
      <c r="P260" s="136">
        <v>21.300426692233479</v>
      </c>
      <c r="Q260" s="135">
        <v>0</v>
      </c>
      <c r="R260" s="136">
        <v>0</v>
      </c>
    </row>
    <row r="261" spans="1:18">
      <c r="A261" s="99" t="s">
        <v>94</v>
      </c>
      <c r="B261" s="94">
        <f t="shared" si="70"/>
        <v>35</v>
      </c>
      <c r="C261" s="95">
        <f t="shared" si="71"/>
        <v>98.170159589999997</v>
      </c>
      <c r="D261" s="96">
        <f t="shared" si="72"/>
        <v>3.2632555527503472E-2</v>
      </c>
      <c r="F261" s="97" t="s">
        <v>94</v>
      </c>
      <c r="G261" s="135">
        <v>6</v>
      </c>
      <c r="H261" s="136">
        <v>79.574597089999997</v>
      </c>
      <c r="I261" s="135">
        <v>3</v>
      </c>
      <c r="J261" s="136">
        <v>3.1019999999999999</v>
      </c>
      <c r="K261" s="135">
        <v>0</v>
      </c>
      <c r="L261" s="136">
        <v>0</v>
      </c>
      <c r="M261" s="135">
        <v>0</v>
      </c>
      <c r="N261" s="136">
        <v>0</v>
      </c>
      <c r="O261" s="135">
        <v>26</v>
      </c>
      <c r="P261" s="136">
        <v>15.493562500000003</v>
      </c>
      <c r="Q261" s="135">
        <v>0</v>
      </c>
      <c r="R261" s="136">
        <v>0</v>
      </c>
    </row>
    <row r="262" spans="1:18">
      <c r="A262" s="99" t="s">
        <v>95</v>
      </c>
      <c r="B262" s="94">
        <f t="shared" si="70"/>
        <v>30</v>
      </c>
      <c r="C262" s="95">
        <f t="shared" si="71"/>
        <v>184.68192544433177</v>
      </c>
      <c r="D262" s="96">
        <f t="shared" si="72"/>
        <v>6.1389766627233958E-2</v>
      </c>
      <c r="F262" s="97" t="s">
        <v>95</v>
      </c>
      <c r="G262" s="135">
        <v>6</v>
      </c>
      <c r="H262" s="136">
        <v>71.169443709999996</v>
      </c>
      <c r="I262" s="135">
        <v>10</v>
      </c>
      <c r="J262" s="136">
        <v>100</v>
      </c>
      <c r="K262" s="135">
        <v>0</v>
      </c>
      <c r="L262" s="136">
        <v>0</v>
      </c>
      <c r="M262" s="135">
        <v>0</v>
      </c>
      <c r="N262" s="136">
        <v>0</v>
      </c>
      <c r="O262" s="135">
        <v>14</v>
      </c>
      <c r="P262" s="136">
        <v>13.512481734331775</v>
      </c>
      <c r="Q262" s="135">
        <v>0</v>
      </c>
      <c r="R262" s="136">
        <v>0</v>
      </c>
    </row>
    <row r="263" spans="1:18">
      <c r="A263" s="99" t="s">
        <v>96</v>
      </c>
      <c r="B263" s="94">
        <f t="shared" si="70"/>
        <v>21</v>
      </c>
      <c r="C263" s="95">
        <f t="shared" si="71"/>
        <v>111.21620306</v>
      </c>
      <c r="D263" s="96">
        <f t="shared" si="72"/>
        <v>3.6969165957057723E-2</v>
      </c>
      <c r="F263" s="97" t="s">
        <v>96</v>
      </c>
      <c r="G263" s="135">
        <v>5</v>
      </c>
      <c r="H263" s="136">
        <v>72.527023060000005</v>
      </c>
      <c r="I263" s="135">
        <v>3</v>
      </c>
      <c r="J263" s="136">
        <v>31</v>
      </c>
      <c r="K263" s="135">
        <v>0</v>
      </c>
      <c r="L263" s="136">
        <v>0</v>
      </c>
      <c r="M263" s="135">
        <v>0</v>
      </c>
      <c r="N263" s="136">
        <v>0</v>
      </c>
      <c r="O263" s="135">
        <v>13</v>
      </c>
      <c r="P263" s="136">
        <v>7.6891799999999986</v>
      </c>
      <c r="Q263" s="135">
        <v>0</v>
      </c>
      <c r="R263" s="136">
        <v>0</v>
      </c>
    </row>
    <row r="264" spans="1:18">
      <c r="A264" s="99" t="s">
        <v>97</v>
      </c>
      <c r="B264" s="94">
        <f t="shared" si="70"/>
        <v>0</v>
      </c>
      <c r="C264" s="95">
        <f t="shared" si="71"/>
        <v>0.6323689055659788</v>
      </c>
      <c r="D264" s="96">
        <f t="shared" si="72"/>
        <v>2.1020454189880374E-4</v>
      </c>
      <c r="F264" s="97" t="s">
        <v>97</v>
      </c>
      <c r="G264" s="135">
        <v>0</v>
      </c>
      <c r="H264" s="136">
        <v>0</v>
      </c>
      <c r="I264" s="135">
        <v>0</v>
      </c>
      <c r="J264" s="136">
        <v>0</v>
      </c>
      <c r="K264" s="135">
        <v>0</v>
      </c>
      <c r="L264" s="136">
        <v>0</v>
      </c>
      <c r="M264" s="135">
        <v>0</v>
      </c>
      <c r="N264" s="136">
        <v>0</v>
      </c>
      <c r="O264" s="135">
        <v>0</v>
      </c>
      <c r="P264" s="136">
        <v>0.6323689055659788</v>
      </c>
      <c r="Q264" s="135">
        <v>0</v>
      </c>
      <c r="R264" s="136">
        <v>0</v>
      </c>
    </row>
    <row r="265" spans="1:18">
      <c r="A265" s="99" t="s">
        <v>98</v>
      </c>
      <c r="B265" s="94">
        <f t="shared" si="70"/>
        <v>7</v>
      </c>
      <c r="C265" s="95">
        <f t="shared" si="71"/>
        <v>24.927375039999998</v>
      </c>
      <c r="D265" s="96">
        <f t="shared" si="72"/>
        <v>8.2860611976693244E-3</v>
      </c>
      <c r="F265" s="97" t="s">
        <v>98</v>
      </c>
      <c r="G265" s="135">
        <v>1</v>
      </c>
      <c r="H265" s="136">
        <v>19.860911039999998</v>
      </c>
      <c r="I265" s="135">
        <v>0</v>
      </c>
      <c r="J265" s="136">
        <v>0</v>
      </c>
      <c r="K265" s="135">
        <v>0</v>
      </c>
      <c r="L265" s="136">
        <v>0</v>
      </c>
      <c r="M265" s="135">
        <v>0</v>
      </c>
      <c r="N265" s="136">
        <v>0</v>
      </c>
      <c r="O265" s="135">
        <v>6</v>
      </c>
      <c r="P265" s="136">
        <v>5.0664639999999999</v>
      </c>
      <c r="Q265" s="135">
        <v>0</v>
      </c>
      <c r="R265" s="136">
        <v>0</v>
      </c>
    </row>
    <row r="266" spans="1:18">
      <c r="A266" s="99" t="s">
        <v>99</v>
      </c>
      <c r="B266" s="94">
        <f t="shared" si="70"/>
        <v>58</v>
      </c>
      <c r="C266" s="95">
        <f t="shared" si="71"/>
        <v>139.27456234016842</v>
      </c>
      <c r="D266" s="96">
        <f t="shared" si="72"/>
        <v>4.6295991654853645E-2</v>
      </c>
      <c r="F266" s="97" t="s">
        <v>99</v>
      </c>
      <c r="G266" s="135">
        <v>4</v>
      </c>
      <c r="H266" s="136">
        <v>67.050071629999991</v>
      </c>
      <c r="I266" s="135">
        <v>5</v>
      </c>
      <c r="J266" s="136">
        <v>43.5</v>
      </c>
      <c r="K266" s="135">
        <v>0</v>
      </c>
      <c r="L266" s="136">
        <v>0</v>
      </c>
      <c r="M266" s="135">
        <v>0</v>
      </c>
      <c r="N266" s="136">
        <v>0</v>
      </c>
      <c r="O266" s="135">
        <v>49</v>
      </c>
      <c r="P266" s="136">
        <v>28.724490710168418</v>
      </c>
      <c r="Q266" s="135">
        <v>0</v>
      </c>
      <c r="R266" s="136">
        <v>0</v>
      </c>
    </row>
    <row r="267" spans="1:18">
      <c r="A267" s="99" t="s">
        <v>100</v>
      </c>
      <c r="B267" s="94">
        <f t="shared" si="70"/>
        <v>54</v>
      </c>
      <c r="C267" s="95">
        <f t="shared" si="71"/>
        <v>570.06272201000002</v>
      </c>
      <c r="D267" s="96">
        <f t="shared" si="72"/>
        <v>0.18949346224803365</v>
      </c>
      <c r="F267" s="97" t="s">
        <v>100</v>
      </c>
      <c r="G267" s="135">
        <v>15</v>
      </c>
      <c r="H267" s="136">
        <v>413.03986875000004</v>
      </c>
      <c r="I267" s="135">
        <v>4</v>
      </c>
      <c r="J267" s="136">
        <v>137.34</v>
      </c>
      <c r="K267" s="135">
        <v>0</v>
      </c>
      <c r="L267" s="136">
        <v>0</v>
      </c>
      <c r="M267" s="135">
        <v>0</v>
      </c>
      <c r="N267" s="136">
        <v>0</v>
      </c>
      <c r="O267" s="135">
        <v>35</v>
      </c>
      <c r="P267" s="136">
        <v>19.682853259999991</v>
      </c>
      <c r="Q267" s="135">
        <v>0</v>
      </c>
      <c r="R267" s="136">
        <v>0</v>
      </c>
    </row>
    <row r="268" spans="1:18">
      <c r="A268" s="99" t="s">
        <v>101</v>
      </c>
      <c r="B268" s="94">
        <f t="shared" si="70"/>
        <v>44</v>
      </c>
      <c r="C268" s="95">
        <f t="shared" si="71"/>
        <v>429.81598372820514</v>
      </c>
      <c r="D268" s="96">
        <f t="shared" si="72"/>
        <v>0.14287431144247553</v>
      </c>
      <c r="F268" s="97" t="s">
        <v>101</v>
      </c>
      <c r="G268" s="135">
        <v>13</v>
      </c>
      <c r="H268" s="136">
        <v>268.35777859999996</v>
      </c>
      <c r="I268" s="135">
        <v>10</v>
      </c>
      <c r="J268" s="136">
        <v>149.018</v>
      </c>
      <c r="K268" s="135">
        <v>0</v>
      </c>
      <c r="L268" s="136">
        <v>0</v>
      </c>
      <c r="M268" s="135">
        <v>0</v>
      </c>
      <c r="N268" s="136">
        <v>0</v>
      </c>
      <c r="O268" s="135">
        <v>21</v>
      </c>
      <c r="P268" s="136">
        <v>12.440205128205131</v>
      </c>
      <c r="Q268" s="135">
        <v>0</v>
      </c>
      <c r="R268" s="136">
        <v>0</v>
      </c>
    </row>
    <row r="269" spans="1:18">
      <c r="A269" s="84" t="s">
        <v>32</v>
      </c>
      <c r="B269" s="101">
        <f>B270+B282</f>
        <v>1434</v>
      </c>
      <c r="C269" s="102">
        <f>C270+C282</f>
        <v>2176.5935849662915</v>
      </c>
      <c r="D269" s="103">
        <f>D270+D282</f>
        <v>1</v>
      </c>
      <c r="F269" s="84" t="s">
        <v>32</v>
      </c>
      <c r="G269" s="85">
        <f>SUM(G271:G281)</f>
        <v>77</v>
      </c>
      <c r="H269" s="86">
        <f t="shared" ref="H269:R269" si="73">SUM(H271:H281)</f>
        <v>1997.538</v>
      </c>
      <c r="I269" s="85">
        <f t="shared" si="73"/>
        <v>0</v>
      </c>
      <c r="J269" s="86">
        <f t="shared" si="73"/>
        <v>0</v>
      </c>
      <c r="K269" s="85">
        <f t="shared" si="73"/>
        <v>0</v>
      </c>
      <c r="L269" s="86">
        <f t="shared" si="73"/>
        <v>0</v>
      </c>
      <c r="M269" s="85">
        <f t="shared" si="73"/>
        <v>0</v>
      </c>
      <c r="N269" s="86">
        <f t="shared" si="73"/>
        <v>0</v>
      </c>
      <c r="O269" s="85">
        <f t="shared" si="73"/>
        <v>97</v>
      </c>
      <c r="P269" s="86">
        <f t="shared" si="73"/>
        <v>28.654643993151435</v>
      </c>
      <c r="Q269" s="85">
        <f t="shared" si="73"/>
        <v>1260</v>
      </c>
      <c r="R269" s="86">
        <f t="shared" si="73"/>
        <v>150.40094097314039</v>
      </c>
    </row>
    <row r="270" spans="1:18">
      <c r="A270" s="104" t="s">
        <v>90</v>
      </c>
      <c r="B270" s="105">
        <f>SUM(B271:B281)</f>
        <v>174</v>
      </c>
      <c r="C270" s="106">
        <f>SUM(C271:C281)</f>
        <v>2026.1926439931513</v>
      </c>
      <c r="D270" s="107">
        <f>SUM(D271:D281)</f>
        <v>0.93090076989477588</v>
      </c>
      <c r="F270" s="92"/>
      <c r="G270" s="89"/>
      <c r="H270" s="90"/>
      <c r="I270" s="89"/>
      <c r="J270" s="90"/>
      <c r="K270" s="89"/>
      <c r="L270" s="90"/>
      <c r="M270" s="89"/>
      <c r="N270" s="90"/>
      <c r="O270" s="89"/>
      <c r="P270" s="90"/>
      <c r="Q270" s="89"/>
      <c r="R270" s="90"/>
    </row>
    <row r="271" spans="1:18">
      <c r="A271" s="108" t="s">
        <v>91</v>
      </c>
      <c r="B271" s="94">
        <f t="shared" ref="B271:B281" si="74">G271+I271+K271+M271+O271</f>
        <v>65</v>
      </c>
      <c r="C271" s="95">
        <f t="shared" ref="C271:C281" si="75">H271+J271+L271+N271+P271</f>
        <v>676.45533399999988</v>
      </c>
      <c r="D271" s="109">
        <f>C271/$C$269</f>
        <v>0.31078623895258611</v>
      </c>
      <c r="F271" s="97" t="s">
        <v>91</v>
      </c>
      <c r="G271" s="135">
        <v>29</v>
      </c>
      <c r="H271" s="136">
        <v>667.45999999999992</v>
      </c>
      <c r="I271" s="135">
        <v>0</v>
      </c>
      <c r="J271" s="136">
        <v>0</v>
      </c>
      <c r="K271" s="135">
        <v>0</v>
      </c>
      <c r="L271" s="136">
        <v>0</v>
      </c>
      <c r="M271" s="135">
        <v>0</v>
      </c>
      <c r="N271" s="136">
        <v>0</v>
      </c>
      <c r="O271" s="135">
        <v>36</v>
      </c>
      <c r="P271" s="136">
        <v>8.9953339999999979</v>
      </c>
      <c r="Q271" s="135">
        <v>0</v>
      </c>
      <c r="R271" s="136">
        <v>0</v>
      </c>
    </row>
    <row r="272" spans="1:18">
      <c r="A272" s="108" t="s">
        <v>92</v>
      </c>
      <c r="B272" s="94">
        <f t="shared" si="74"/>
        <v>8</v>
      </c>
      <c r="C272" s="95">
        <f t="shared" si="75"/>
        <v>259.86799999999999</v>
      </c>
      <c r="D272" s="109">
        <f t="shared" ref="D272:D284" si="76">C272/$C$269</f>
        <v>0.11939206372512787</v>
      </c>
      <c r="F272" s="97" t="s">
        <v>92</v>
      </c>
      <c r="G272" s="135">
        <v>5</v>
      </c>
      <c r="H272" s="136">
        <v>258.8</v>
      </c>
      <c r="I272" s="135">
        <v>0</v>
      </c>
      <c r="J272" s="136">
        <v>0</v>
      </c>
      <c r="K272" s="135">
        <v>0</v>
      </c>
      <c r="L272" s="136">
        <v>0</v>
      </c>
      <c r="M272" s="135">
        <v>0</v>
      </c>
      <c r="N272" s="136">
        <v>0</v>
      </c>
      <c r="O272" s="135">
        <v>3</v>
      </c>
      <c r="P272" s="136">
        <v>1.0680000000000001</v>
      </c>
      <c r="Q272" s="135">
        <v>0</v>
      </c>
      <c r="R272" s="136">
        <v>0</v>
      </c>
    </row>
    <row r="273" spans="1:18">
      <c r="A273" s="108" t="s">
        <v>93</v>
      </c>
      <c r="B273" s="94">
        <f t="shared" si="74"/>
        <v>22</v>
      </c>
      <c r="C273" s="95">
        <f t="shared" si="75"/>
        <v>324.7813491951282</v>
      </c>
      <c r="D273" s="109">
        <f t="shared" si="76"/>
        <v>0.14921543067956713</v>
      </c>
      <c r="F273" s="97" t="s">
        <v>93</v>
      </c>
      <c r="G273" s="135">
        <v>11</v>
      </c>
      <c r="H273" s="136">
        <v>321.49799999999999</v>
      </c>
      <c r="I273" s="135">
        <v>0</v>
      </c>
      <c r="J273" s="136">
        <v>0</v>
      </c>
      <c r="K273" s="135">
        <v>0</v>
      </c>
      <c r="L273" s="136">
        <v>0</v>
      </c>
      <c r="M273" s="135">
        <v>0</v>
      </c>
      <c r="N273" s="136">
        <v>0</v>
      </c>
      <c r="O273" s="135">
        <v>11</v>
      </c>
      <c r="P273" s="136">
        <v>3.2833491951282054</v>
      </c>
      <c r="Q273" s="135">
        <v>0</v>
      </c>
      <c r="R273" s="136">
        <v>0</v>
      </c>
    </row>
    <row r="274" spans="1:18">
      <c r="A274" s="108" t="s">
        <v>94</v>
      </c>
      <c r="B274" s="94">
        <f t="shared" si="74"/>
        <v>5</v>
      </c>
      <c r="C274" s="95">
        <f t="shared" si="75"/>
        <v>26.296548999999999</v>
      </c>
      <c r="D274" s="109">
        <f t="shared" si="76"/>
        <v>1.2081515438449318E-2</v>
      </c>
      <c r="F274" s="97" t="s">
        <v>94</v>
      </c>
      <c r="G274" s="135">
        <v>2</v>
      </c>
      <c r="H274" s="136">
        <v>25</v>
      </c>
      <c r="I274" s="135">
        <v>0</v>
      </c>
      <c r="J274" s="136">
        <v>0</v>
      </c>
      <c r="K274" s="135">
        <v>0</v>
      </c>
      <c r="L274" s="136">
        <v>0</v>
      </c>
      <c r="M274" s="135">
        <v>0</v>
      </c>
      <c r="N274" s="136">
        <v>0</v>
      </c>
      <c r="O274" s="135">
        <v>3</v>
      </c>
      <c r="P274" s="136">
        <v>1.296549</v>
      </c>
      <c r="Q274" s="135">
        <v>829</v>
      </c>
      <c r="R274" s="136">
        <v>100.90539226157023</v>
      </c>
    </row>
    <row r="275" spans="1:18">
      <c r="A275" s="108" t="s">
        <v>95</v>
      </c>
      <c r="B275" s="94">
        <f t="shared" si="74"/>
        <v>8</v>
      </c>
      <c r="C275" s="95">
        <f t="shared" si="75"/>
        <v>183.43</v>
      </c>
      <c r="D275" s="109">
        <f t="shared" si="76"/>
        <v>8.427388616182141E-2</v>
      </c>
      <c r="F275" s="97" t="s">
        <v>95</v>
      </c>
      <c r="G275" s="135">
        <v>3</v>
      </c>
      <c r="H275" s="136">
        <v>181.53</v>
      </c>
      <c r="I275" s="135">
        <v>0</v>
      </c>
      <c r="J275" s="136">
        <v>0</v>
      </c>
      <c r="K275" s="135">
        <v>0</v>
      </c>
      <c r="L275" s="136">
        <v>0</v>
      </c>
      <c r="M275" s="135">
        <v>0</v>
      </c>
      <c r="N275" s="136">
        <v>0</v>
      </c>
      <c r="O275" s="135">
        <v>5</v>
      </c>
      <c r="P275" s="136">
        <v>1.9</v>
      </c>
      <c r="Q275" s="135">
        <v>0</v>
      </c>
      <c r="R275" s="136">
        <v>0</v>
      </c>
    </row>
    <row r="276" spans="1:18">
      <c r="A276" s="108" t="s">
        <v>96</v>
      </c>
      <c r="B276" s="94">
        <f t="shared" si="74"/>
        <v>8</v>
      </c>
      <c r="C276" s="95">
        <f t="shared" si="75"/>
        <v>55.705674999999999</v>
      </c>
      <c r="D276" s="109">
        <f t="shared" si="76"/>
        <v>2.5593053009417329E-2</v>
      </c>
      <c r="F276" s="97" t="s">
        <v>96</v>
      </c>
      <c r="G276" s="135">
        <v>1</v>
      </c>
      <c r="H276" s="136">
        <v>53</v>
      </c>
      <c r="I276" s="135">
        <v>0</v>
      </c>
      <c r="J276" s="136">
        <v>0</v>
      </c>
      <c r="K276" s="135">
        <v>0</v>
      </c>
      <c r="L276" s="136">
        <v>0</v>
      </c>
      <c r="M276" s="135">
        <v>0</v>
      </c>
      <c r="N276" s="136">
        <v>0</v>
      </c>
      <c r="O276" s="135">
        <v>7</v>
      </c>
      <c r="P276" s="136">
        <v>2.7056749999999998</v>
      </c>
      <c r="Q276" s="135">
        <v>431</v>
      </c>
      <c r="R276" s="136">
        <v>49.49554871157018</v>
      </c>
    </row>
    <row r="277" spans="1:18">
      <c r="A277" s="108" t="s">
        <v>97</v>
      </c>
      <c r="B277" s="94">
        <f t="shared" si="74"/>
        <v>0</v>
      </c>
      <c r="C277" s="95">
        <f t="shared" si="75"/>
        <v>0.21136890556597876</v>
      </c>
      <c r="D277" s="109">
        <f t="shared" si="76"/>
        <v>9.710995521897222E-5</v>
      </c>
      <c r="F277" s="97" t="s">
        <v>97</v>
      </c>
      <c r="G277" s="135">
        <v>0</v>
      </c>
      <c r="H277" s="136">
        <v>0</v>
      </c>
      <c r="I277" s="135">
        <v>0</v>
      </c>
      <c r="J277" s="136">
        <v>0</v>
      </c>
      <c r="K277" s="135">
        <v>0</v>
      </c>
      <c r="L277" s="136">
        <v>0</v>
      </c>
      <c r="M277" s="135">
        <v>0</v>
      </c>
      <c r="N277" s="136">
        <v>0</v>
      </c>
      <c r="O277" s="135">
        <v>0</v>
      </c>
      <c r="P277" s="136">
        <v>0.21136890556597876</v>
      </c>
      <c r="Q277" s="135">
        <v>0</v>
      </c>
      <c r="R277" s="136">
        <v>0</v>
      </c>
    </row>
    <row r="278" spans="1:18">
      <c r="A278" s="108" t="s">
        <v>98</v>
      </c>
      <c r="B278" s="94">
        <f t="shared" si="74"/>
        <v>5</v>
      </c>
      <c r="C278" s="95">
        <f t="shared" si="75"/>
        <v>1.7524629999999999</v>
      </c>
      <c r="D278" s="109">
        <f t="shared" si="76"/>
        <v>8.0514020261028194E-4</v>
      </c>
      <c r="F278" s="97" t="s">
        <v>98</v>
      </c>
      <c r="G278" s="135">
        <v>0</v>
      </c>
      <c r="H278" s="136">
        <v>0</v>
      </c>
      <c r="I278" s="135">
        <v>0</v>
      </c>
      <c r="J278" s="136">
        <v>0</v>
      </c>
      <c r="K278" s="135">
        <v>0</v>
      </c>
      <c r="L278" s="136">
        <v>0</v>
      </c>
      <c r="M278" s="135">
        <v>0</v>
      </c>
      <c r="N278" s="136">
        <v>0</v>
      </c>
      <c r="O278" s="135">
        <v>5</v>
      </c>
      <c r="P278" s="136">
        <v>1.7524629999999999</v>
      </c>
      <c r="Q278" s="135">
        <v>0</v>
      </c>
      <c r="R278" s="136">
        <v>0</v>
      </c>
    </row>
    <row r="279" spans="1:18">
      <c r="A279" s="108" t="s">
        <v>99</v>
      </c>
      <c r="B279" s="94">
        <f t="shared" si="74"/>
        <v>10</v>
      </c>
      <c r="C279" s="95">
        <f t="shared" si="75"/>
        <v>2.2503495042521258</v>
      </c>
      <c r="D279" s="109">
        <f t="shared" si="76"/>
        <v>1.0338859398443814E-3</v>
      </c>
      <c r="F279" s="97" t="s">
        <v>99</v>
      </c>
      <c r="G279" s="135">
        <v>0</v>
      </c>
      <c r="H279" s="136">
        <v>0</v>
      </c>
      <c r="I279" s="135">
        <v>0</v>
      </c>
      <c r="J279" s="136">
        <v>0</v>
      </c>
      <c r="K279" s="135">
        <v>0</v>
      </c>
      <c r="L279" s="136">
        <v>0</v>
      </c>
      <c r="M279" s="135">
        <v>0</v>
      </c>
      <c r="N279" s="136">
        <v>0</v>
      </c>
      <c r="O279" s="135">
        <v>10</v>
      </c>
      <c r="P279" s="136">
        <v>2.2503495042521258</v>
      </c>
      <c r="Q279" s="135">
        <v>0</v>
      </c>
      <c r="R279" s="136">
        <v>0</v>
      </c>
    </row>
    <row r="280" spans="1:18">
      <c r="A280" s="108" t="s">
        <v>100</v>
      </c>
      <c r="B280" s="94">
        <f t="shared" si="74"/>
        <v>20</v>
      </c>
      <c r="C280" s="95">
        <f t="shared" si="75"/>
        <v>256.39047826000001</v>
      </c>
      <c r="D280" s="109">
        <f t="shared" si="76"/>
        <v>0.117794373754883</v>
      </c>
      <c r="F280" s="97" t="s">
        <v>100</v>
      </c>
      <c r="G280" s="135">
        <v>15</v>
      </c>
      <c r="H280" s="136">
        <v>255.14</v>
      </c>
      <c r="I280" s="135">
        <v>0</v>
      </c>
      <c r="J280" s="136">
        <v>0</v>
      </c>
      <c r="K280" s="135">
        <v>0</v>
      </c>
      <c r="L280" s="136">
        <v>0</v>
      </c>
      <c r="M280" s="135">
        <v>0</v>
      </c>
      <c r="N280" s="136">
        <v>0</v>
      </c>
      <c r="O280" s="135">
        <v>5</v>
      </c>
      <c r="P280" s="136">
        <v>1.2504782600000002</v>
      </c>
      <c r="Q280" s="135">
        <v>0</v>
      </c>
      <c r="R280" s="136">
        <v>0</v>
      </c>
    </row>
    <row r="281" spans="1:18">
      <c r="A281" s="93" t="s">
        <v>101</v>
      </c>
      <c r="B281" s="94">
        <f t="shared" si="74"/>
        <v>23</v>
      </c>
      <c r="C281" s="95">
        <f t="shared" si="75"/>
        <v>239.05107712820515</v>
      </c>
      <c r="D281" s="96">
        <f t="shared" si="76"/>
        <v>0.10982807207525024</v>
      </c>
      <c r="F281" s="97" t="s">
        <v>101</v>
      </c>
      <c r="G281" s="135">
        <v>11</v>
      </c>
      <c r="H281" s="136">
        <v>235.11</v>
      </c>
      <c r="I281" s="135">
        <v>0</v>
      </c>
      <c r="J281" s="136">
        <v>0</v>
      </c>
      <c r="K281" s="135">
        <v>0</v>
      </c>
      <c r="L281" s="136">
        <v>0</v>
      </c>
      <c r="M281" s="135">
        <v>0</v>
      </c>
      <c r="N281" s="136">
        <v>0</v>
      </c>
      <c r="O281" s="135">
        <v>12</v>
      </c>
      <c r="P281" s="136">
        <v>3.9410771282051273</v>
      </c>
      <c r="Q281" s="135">
        <v>0</v>
      </c>
      <c r="R281" s="136">
        <v>0</v>
      </c>
    </row>
    <row r="282" spans="1:18" ht="17.25">
      <c r="A282" s="104" t="s">
        <v>102</v>
      </c>
      <c r="B282" s="89">
        <f>SUM(B283:B284)</f>
        <v>1260</v>
      </c>
      <c r="C282" s="90">
        <f>SUM(C283:C284)</f>
        <v>150.40094097314039</v>
      </c>
      <c r="D282" s="91">
        <f>SUM(D283:D284)</f>
        <v>6.9099230105224091E-2</v>
      </c>
      <c r="E282" s="123"/>
      <c r="F282" s="97"/>
      <c r="G282" s="135"/>
      <c r="H282" s="136"/>
      <c r="I282" s="135"/>
      <c r="J282" s="136"/>
      <c r="K282" s="135"/>
      <c r="L282" s="136"/>
      <c r="M282" s="135"/>
      <c r="N282" s="136"/>
      <c r="O282" s="135"/>
      <c r="P282" s="136"/>
      <c r="Q282" s="135"/>
      <c r="R282" s="136"/>
    </row>
    <row r="283" spans="1:18">
      <c r="A283" s="93" t="s">
        <v>94</v>
      </c>
      <c r="B283" s="94">
        <f>Q274</f>
        <v>829</v>
      </c>
      <c r="C283" s="95">
        <f>R274</f>
        <v>100.90539226157023</v>
      </c>
      <c r="D283" s="96">
        <f t="shared" si="76"/>
        <v>4.6359317126781353E-2</v>
      </c>
      <c r="F283" s="97"/>
      <c r="G283" s="135"/>
      <c r="H283" s="136"/>
      <c r="I283" s="135"/>
      <c r="J283" s="136"/>
      <c r="K283" s="135"/>
      <c r="L283" s="136"/>
      <c r="M283" s="135"/>
      <c r="N283" s="136"/>
      <c r="O283" s="135"/>
      <c r="P283" s="136"/>
      <c r="Q283" s="135"/>
      <c r="R283" s="136"/>
    </row>
    <row r="284" spans="1:18">
      <c r="A284" s="93" t="s">
        <v>96</v>
      </c>
      <c r="B284" s="94">
        <f>Q276</f>
        <v>431</v>
      </c>
      <c r="C284" s="95">
        <f>R276</f>
        <v>49.49554871157018</v>
      </c>
      <c r="D284" s="96">
        <f t="shared" si="76"/>
        <v>2.2739912978442738E-2</v>
      </c>
      <c r="F284" s="97"/>
      <c r="G284" s="135"/>
      <c r="H284" s="136"/>
      <c r="I284" s="135"/>
      <c r="J284" s="136"/>
      <c r="K284" s="135"/>
      <c r="L284" s="136"/>
      <c r="M284" s="135"/>
      <c r="N284" s="136"/>
      <c r="O284" s="135"/>
      <c r="P284" s="136"/>
      <c r="Q284" s="135"/>
      <c r="R284" s="136"/>
    </row>
    <row r="285" spans="1:18">
      <c r="A285" s="84" t="s">
        <v>33</v>
      </c>
      <c r="B285" s="85">
        <f>SUM(B286:B296)</f>
        <v>124</v>
      </c>
      <c r="C285" s="102">
        <f>SUM(C286:C296)</f>
        <v>518.77894355677597</v>
      </c>
      <c r="D285" s="87">
        <f>SUM(D286:D296)</f>
        <v>1</v>
      </c>
      <c r="F285" s="84" t="s">
        <v>33</v>
      </c>
      <c r="G285" s="85">
        <f>SUM(G286:G296)</f>
        <v>27</v>
      </c>
      <c r="H285" s="86">
        <f t="shared" ref="H285:R285" si="77">SUM(H286:H296)</f>
        <v>242.79166045000002</v>
      </c>
      <c r="I285" s="85">
        <f t="shared" si="77"/>
        <v>18</v>
      </c>
      <c r="J285" s="86">
        <f t="shared" si="77"/>
        <v>222.13</v>
      </c>
      <c r="K285" s="85">
        <f t="shared" si="77"/>
        <v>1</v>
      </c>
      <c r="L285" s="86">
        <f t="shared" si="77"/>
        <v>4.5</v>
      </c>
      <c r="M285" s="85">
        <f t="shared" si="77"/>
        <v>0</v>
      </c>
      <c r="N285" s="86">
        <f t="shared" si="77"/>
        <v>0</v>
      </c>
      <c r="O285" s="85">
        <f t="shared" si="77"/>
        <v>78</v>
      </c>
      <c r="P285" s="86">
        <f t="shared" si="77"/>
        <v>49.357283106776009</v>
      </c>
      <c r="Q285" s="85">
        <f t="shared" si="77"/>
        <v>0</v>
      </c>
      <c r="R285" s="86">
        <f t="shared" si="77"/>
        <v>0</v>
      </c>
    </row>
    <row r="286" spans="1:18">
      <c r="A286" s="99" t="s">
        <v>91</v>
      </c>
      <c r="B286" s="94">
        <f t="shared" ref="B286:B296" si="78">G286+I286+K286+M286+O286</f>
        <v>4</v>
      </c>
      <c r="C286" s="95">
        <f t="shared" ref="C286:C296" si="79">H286+J286+L286+N286+P286</f>
        <v>3.8371329999999997</v>
      </c>
      <c r="D286" s="96">
        <f>C286/$C$285</f>
        <v>7.3964702069293951E-3</v>
      </c>
      <c r="F286" s="97" t="s">
        <v>91</v>
      </c>
      <c r="G286" s="135">
        <v>0</v>
      </c>
      <c r="H286" s="136">
        <v>0</v>
      </c>
      <c r="I286" s="135">
        <v>1</v>
      </c>
      <c r="J286" s="136">
        <v>1</v>
      </c>
      <c r="K286" s="135">
        <v>0</v>
      </c>
      <c r="L286" s="136">
        <v>0</v>
      </c>
      <c r="M286" s="135">
        <v>0</v>
      </c>
      <c r="N286" s="136">
        <v>0</v>
      </c>
      <c r="O286" s="135">
        <v>3</v>
      </c>
      <c r="P286" s="136">
        <v>2.8371329999999997</v>
      </c>
      <c r="Q286" s="135">
        <v>0</v>
      </c>
      <c r="R286" s="136">
        <v>0</v>
      </c>
    </row>
    <row r="287" spans="1:18">
      <c r="A287" s="99" t="s">
        <v>92</v>
      </c>
      <c r="B287" s="94">
        <f t="shared" si="78"/>
        <v>8</v>
      </c>
      <c r="C287" s="95">
        <f t="shared" si="79"/>
        <v>14.819123939999999</v>
      </c>
      <c r="D287" s="96">
        <f t="shared" ref="D287:D296" si="80">C287/$C$285</f>
        <v>2.8565392107858693E-2</v>
      </c>
      <c r="F287" s="97" t="s">
        <v>92</v>
      </c>
      <c r="G287" s="135">
        <v>2</v>
      </c>
      <c r="H287" s="136">
        <v>12.599123939999998</v>
      </c>
      <c r="I287" s="135">
        <v>0</v>
      </c>
      <c r="J287" s="136">
        <v>0</v>
      </c>
      <c r="K287" s="135">
        <v>0</v>
      </c>
      <c r="L287" s="136">
        <v>0</v>
      </c>
      <c r="M287" s="135">
        <v>0</v>
      </c>
      <c r="N287" s="136">
        <v>0</v>
      </c>
      <c r="O287" s="135">
        <v>6</v>
      </c>
      <c r="P287" s="136">
        <v>2.2200000000000002</v>
      </c>
      <c r="Q287" s="135">
        <v>0</v>
      </c>
      <c r="R287" s="136">
        <v>0</v>
      </c>
    </row>
    <row r="288" spans="1:18">
      <c r="A288" s="99" t="s">
        <v>93</v>
      </c>
      <c r="B288" s="94">
        <f t="shared" si="78"/>
        <v>18</v>
      </c>
      <c r="C288" s="95">
        <f t="shared" si="79"/>
        <v>102.35280351223346</v>
      </c>
      <c r="D288" s="96">
        <f t="shared" si="80"/>
        <v>0.19729560110997801</v>
      </c>
      <c r="F288" s="97" t="s">
        <v>93</v>
      </c>
      <c r="G288" s="135">
        <v>5</v>
      </c>
      <c r="H288" s="136">
        <v>38.647008820000003</v>
      </c>
      <c r="I288" s="135">
        <v>4</v>
      </c>
      <c r="J288" s="136">
        <v>57.73</v>
      </c>
      <c r="K288" s="135">
        <v>0</v>
      </c>
      <c r="L288" s="136">
        <v>0</v>
      </c>
      <c r="M288" s="135">
        <v>0</v>
      </c>
      <c r="N288" s="136">
        <v>0</v>
      </c>
      <c r="O288" s="135">
        <v>9</v>
      </c>
      <c r="P288" s="136">
        <v>5.9757946922334684</v>
      </c>
      <c r="Q288" s="135">
        <v>0</v>
      </c>
      <c r="R288" s="136">
        <v>0</v>
      </c>
    </row>
    <row r="289" spans="1:18">
      <c r="A289" s="99" t="s">
        <v>94</v>
      </c>
      <c r="B289" s="94">
        <f t="shared" si="78"/>
        <v>7</v>
      </c>
      <c r="C289" s="95">
        <f t="shared" si="79"/>
        <v>17.510133499999998</v>
      </c>
      <c r="D289" s="96">
        <f t="shared" si="80"/>
        <v>3.3752590997525062E-2</v>
      </c>
      <c r="F289" s="97" t="s">
        <v>94</v>
      </c>
      <c r="G289" s="135">
        <v>2</v>
      </c>
      <c r="H289" s="136">
        <v>12</v>
      </c>
      <c r="I289" s="135">
        <v>0</v>
      </c>
      <c r="J289" s="136">
        <v>0</v>
      </c>
      <c r="K289" s="135">
        <v>1</v>
      </c>
      <c r="L289" s="136">
        <v>4.5</v>
      </c>
      <c r="M289" s="135">
        <v>0</v>
      </c>
      <c r="N289" s="136">
        <v>0</v>
      </c>
      <c r="O289" s="135">
        <v>4</v>
      </c>
      <c r="P289" s="136">
        <v>1.0101335</v>
      </c>
      <c r="Q289" s="135">
        <v>0</v>
      </c>
      <c r="R289" s="136">
        <v>0</v>
      </c>
    </row>
    <row r="290" spans="1:18">
      <c r="A290" s="99" t="s">
        <v>95</v>
      </c>
      <c r="B290" s="94">
        <f t="shared" si="78"/>
        <v>4</v>
      </c>
      <c r="C290" s="95">
        <f t="shared" si="79"/>
        <v>14.711124080771446</v>
      </c>
      <c r="D290" s="96">
        <f t="shared" si="80"/>
        <v>2.835721122355352E-2</v>
      </c>
      <c r="F290" s="97" t="s">
        <v>95</v>
      </c>
      <c r="G290" s="135">
        <v>0</v>
      </c>
      <c r="H290" s="136">
        <v>0</v>
      </c>
      <c r="I290" s="135">
        <v>3</v>
      </c>
      <c r="J290" s="136">
        <v>11.5</v>
      </c>
      <c r="K290" s="135">
        <v>0</v>
      </c>
      <c r="L290" s="136">
        <v>0</v>
      </c>
      <c r="M290" s="135">
        <v>0</v>
      </c>
      <c r="N290" s="136">
        <v>0</v>
      </c>
      <c r="O290" s="135">
        <v>1</v>
      </c>
      <c r="P290" s="136">
        <v>3.2111240807714463</v>
      </c>
      <c r="Q290" s="135">
        <v>0</v>
      </c>
      <c r="R290" s="136">
        <v>0</v>
      </c>
    </row>
    <row r="291" spans="1:18">
      <c r="A291" s="99" t="s">
        <v>96</v>
      </c>
      <c r="B291" s="94">
        <f t="shared" si="78"/>
        <v>10</v>
      </c>
      <c r="C291" s="95">
        <f t="shared" si="79"/>
        <v>30.75530569</v>
      </c>
      <c r="D291" s="96">
        <f t="shared" si="80"/>
        <v>5.928402852887589E-2</v>
      </c>
      <c r="F291" s="97" t="s">
        <v>96</v>
      </c>
      <c r="G291" s="135">
        <v>3</v>
      </c>
      <c r="H291" s="136">
        <v>17.58700189</v>
      </c>
      <c r="I291" s="135">
        <v>2</v>
      </c>
      <c r="J291" s="136">
        <v>9.4499999999999993</v>
      </c>
      <c r="K291" s="135">
        <v>0</v>
      </c>
      <c r="L291" s="136">
        <v>0</v>
      </c>
      <c r="M291" s="135">
        <v>0</v>
      </c>
      <c r="N291" s="136">
        <v>0</v>
      </c>
      <c r="O291" s="135">
        <v>5</v>
      </c>
      <c r="P291" s="136">
        <v>3.7183037999999997</v>
      </c>
      <c r="Q291" s="135">
        <v>0</v>
      </c>
      <c r="R291" s="136">
        <v>0</v>
      </c>
    </row>
    <row r="292" spans="1:18">
      <c r="A292" s="99" t="s">
        <v>97</v>
      </c>
      <c r="B292" s="94">
        <f t="shared" si="78"/>
        <v>1</v>
      </c>
      <c r="C292" s="95">
        <f t="shared" si="79"/>
        <v>9.5274689055659785</v>
      </c>
      <c r="D292" s="96">
        <f t="shared" si="80"/>
        <v>1.836518043744248E-2</v>
      </c>
      <c r="F292" s="97" t="s">
        <v>97</v>
      </c>
      <c r="G292" s="135">
        <v>1</v>
      </c>
      <c r="H292" s="136">
        <v>9.0909999999999993</v>
      </c>
      <c r="I292" s="135">
        <v>0</v>
      </c>
      <c r="J292" s="136">
        <v>0</v>
      </c>
      <c r="K292" s="135">
        <v>0</v>
      </c>
      <c r="L292" s="136">
        <v>0</v>
      </c>
      <c r="M292" s="135">
        <v>0</v>
      </c>
      <c r="N292" s="136">
        <v>0</v>
      </c>
      <c r="O292" s="135">
        <v>0</v>
      </c>
      <c r="P292" s="136">
        <v>0.43646890556597878</v>
      </c>
      <c r="Q292" s="135">
        <v>0</v>
      </c>
      <c r="R292" s="136">
        <v>0</v>
      </c>
    </row>
    <row r="293" spans="1:18">
      <c r="A293" s="99" t="s">
        <v>98</v>
      </c>
      <c r="B293" s="94">
        <f t="shared" si="78"/>
        <v>5</v>
      </c>
      <c r="C293" s="95">
        <f t="shared" si="79"/>
        <v>32.60936959</v>
      </c>
      <c r="D293" s="96">
        <f t="shared" si="80"/>
        <v>6.285792820816595E-2</v>
      </c>
      <c r="F293" s="97" t="s">
        <v>98</v>
      </c>
      <c r="G293" s="135">
        <v>3</v>
      </c>
      <c r="H293" s="136">
        <v>12.262905590000001</v>
      </c>
      <c r="I293" s="135">
        <v>1</v>
      </c>
      <c r="J293" s="136">
        <v>20</v>
      </c>
      <c r="K293" s="135">
        <v>0</v>
      </c>
      <c r="L293" s="136">
        <v>0</v>
      </c>
      <c r="M293" s="135">
        <v>0</v>
      </c>
      <c r="N293" s="136">
        <v>0</v>
      </c>
      <c r="O293" s="135">
        <v>1</v>
      </c>
      <c r="P293" s="136">
        <v>0.34646399999999999</v>
      </c>
      <c r="Q293" s="135">
        <v>0</v>
      </c>
      <c r="R293" s="136">
        <v>0</v>
      </c>
    </row>
    <row r="294" spans="1:18">
      <c r="A294" s="99" t="s">
        <v>99</v>
      </c>
      <c r="B294" s="94">
        <f t="shared" si="78"/>
        <v>34</v>
      </c>
      <c r="C294" s="95">
        <f t="shared" si="79"/>
        <v>108.68277834</v>
      </c>
      <c r="D294" s="96">
        <f t="shared" si="80"/>
        <v>0.20949728143333093</v>
      </c>
      <c r="F294" s="97" t="s">
        <v>99</v>
      </c>
      <c r="G294" s="135">
        <v>4</v>
      </c>
      <c r="H294" s="136">
        <v>65.044945339999998</v>
      </c>
      <c r="I294" s="135">
        <v>1</v>
      </c>
      <c r="J294" s="136">
        <v>25</v>
      </c>
      <c r="K294" s="135">
        <v>0</v>
      </c>
      <c r="L294" s="136">
        <v>0</v>
      </c>
      <c r="M294" s="135">
        <v>0</v>
      </c>
      <c r="N294" s="136">
        <v>0</v>
      </c>
      <c r="O294" s="135">
        <v>29</v>
      </c>
      <c r="P294" s="136">
        <v>18.637832999999993</v>
      </c>
      <c r="Q294" s="135">
        <v>0</v>
      </c>
      <c r="R294" s="136">
        <v>0</v>
      </c>
    </row>
    <row r="295" spans="1:18">
      <c r="A295" s="99" t="s">
        <v>100</v>
      </c>
      <c r="B295" s="94">
        <f t="shared" si="78"/>
        <v>21</v>
      </c>
      <c r="C295" s="95">
        <f t="shared" si="79"/>
        <v>46.394991660000002</v>
      </c>
      <c r="D295" s="109">
        <f t="shared" si="80"/>
        <v>8.9431138707969676E-2</v>
      </c>
      <c r="F295" s="97" t="s">
        <v>100</v>
      </c>
      <c r="G295" s="135">
        <v>5</v>
      </c>
      <c r="H295" s="136">
        <v>31.611991659999997</v>
      </c>
      <c r="I295" s="135">
        <v>1</v>
      </c>
      <c r="J295" s="136">
        <v>9.69</v>
      </c>
      <c r="K295" s="135">
        <v>0</v>
      </c>
      <c r="L295" s="136">
        <v>0</v>
      </c>
      <c r="M295" s="135">
        <v>0</v>
      </c>
      <c r="N295" s="136">
        <v>0</v>
      </c>
      <c r="O295" s="135">
        <v>15</v>
      </c>
      <c r="P295" s="136">
        <v>5.093</v>
      </c>
      <c r="Q295" s="135">
        <v>0</v>
      </c>
      <c r="R295" s="136">
        <v>0</v>
      </c>
    </row>
    <row r="296" spans="1:18">
      <c r="A296" s="99" t="s">
        <v>101</v>
      </c>
      <c r="B296" s="94">
        <f t="shared" si="78"/>
        <v>12</v>
      </c>
      <c r="C296" s="95">
        <f t="shared" si="79"/>
        <v>137.57871133820512</v>
      </c>
      <c r="D296" s="96">
        <f t="shared" si="80"/>
        <v>0.26519717703837048</v>
      </c>
      <c r="F296" s="97" t="s">
        <v>101</v>
      </c>
      <c r="G296" s="135">
        <v>2</v>
      </c>
      <c r="H296" s="136">
        <v>43.947683210000001</v>
      </c>
      <c r="I296" s="135">
        <v>5</v>
      </c>
      <c r="J296" s="136">
        <v>87.76</v>
      </c>
      <c r="K296" s="135">
        <v>0</v>
      </c>
      <c r="L296" s="136">
        <v>0</v>
      </c>
      <c r="M296" s="135">
        <v>0</v>
      </c>
      <c r="N296" s="136">
        <v>0</v>
      </c>
      <c r="O296" s="135">
        <v>5</v>
      </c>
      <c r="P296" s="136">
        <v>5.8710281282051273</v>
      </c>
      <c r="Q296" s="135">
        <v>0</v>
      </c>
      <c r="R296" s="136">
        <v>0</v>
      </c>
    </row>
    <row r="297" spans="1:18">
      <c r="A297" s="84" t="s">
        <v>34</v>
      </c>
      <c r="B297" s="85">
        <f>SUM(B298:B308)</f>
        <v>87</v>
      </c>
      <c r="C297" s="102">
        <f>SUM(C298:C308)</f>
        <v>215.60606768332593</v>
      </c>
      <c r="D297" s="87">
        <f>SUM(D298:D308)</f>
        <v>1</v>
      </c>
      <c r="F297" s="84" t="s">
        <v>34</v>
      </c>
      <c r="G297" s="85">
        <f>SUM(G298:G308)</f>
        <v>14</v>
      </c>
      <c r="H297" s="86">
        <f t="shared" ref="H297:R297" si="81">SUM(H298:H308)</f>
        <v>93.099321840000002</v>
      </c>
      <c r="I297" s="85">
        <f t="shared" si="81"/>
        <v>21</v>
      </c>
      <c r="J297" s="86">
        <f t="shared" si="81"/>
        <v>87.460000000000008</v>
      </c>
      <c r="K297" s="85">
        <f t="shared" si="81"/>
        <v>0</v>
      </c>
      <c r="L297" s="86">
        <f t="shared" si="81"/>
        <v>0</v>
      </c>
      <c r="M297" s="85">
        <f t="shared" si="81"/>
        <v>0</v>
      </c>
      <c r="N297" s="86">
        <f t="shared" si="81"/>
        <v>0</v>
      </c>
      <c r="O297" s="85">
        <f t="shared" si="81"/>
        <v>52</v>
      </c>
      <c r="P297" s="86">
        <f t="shared" si="81"/>
        <v>35.046745843325922</v>
      </c>
      <c r="Q297" s="85">
        <f t="shared" si="81"/>
        <v>0</v>
      </c>
      <c r="R297" s="86">
        <f t="shared" si="81"/>
        <v>0</v>
      </c>
    </row>
    <row r="298" spans="1:18">
      <c r="A298" s="99" t="s">
        <v>91</v>
      </c>
      <c r="B298" s="94">
        <f t="shared" ref="B298:B308" si="82">G298+I298+K298+M298+O298</f>
        <v>9</v>
      </c>
      <c r="C298" s="95">
        <f t="shared" ref="C298:C308" si="83">H298+J298+L298+N298+P298</f>
        <v>10.134012240000001</v>
      </c>
      <c r="D298" s="96">
        <f>C298/$C$297</f>
        <v>4.7002444545690872E-2</v>
      </c>
      <c r="F298" s="97" t="s">
        <v>91</v>
      </c>
      <c r="G298" s="135">
        <v>1</v>
      </c>
      <c r="H298" s="136">
        <v>7.18301224</v>
      </c>
      <c r="I298" s="135">
        <v>0</v>
      </c>
      <c r="J298" s="136">
        <v>0</v>
      </c>
      <c r="K298" s="135">
        <v>0</v>
      </c>
      <c r="L298" s="136">
        <v>0</v>
      </c>
      <c r="M298" s="135">
        <v>0</v>
      </c>
      <c r="N298" s="136">
        <v>0</v>
      </c>
      <c r="O298" s="135">
        <v>8</v>
      </c>
      <c r="P298" s="136">
        <v>2.9509999999999996</v>
      </c>
      <c r="Q298" s="135">
        <v>0</v>
      </c>
      <c r="R298" s="136">
        <v>0</v>
      </c>
    </row>
    <row r="299" spans="1:18">
      <c r="A299" s="99" t="s">
        <v>92</v>
      </c>
      <c r="B299" s="94">
        <f t="shared" si="82"/>
        <v>6</v>
      </c>
      <c r="C299" s="95">
        <f t="shared" si="83"/>
        <v>23.620287722857142</v>
      </c>
      <c r="D299" s="96">
        <f t="shared" ref="D299:D308" si="84">C299/$C$297</f>
        <v>0.10955298232863155</v>
      </c>
      <c r="F299" s="97" t="s">
        <v>92</v>
      </c>
      <c r="G299" s="135">
        <v>2</v>
      </c>
      <c r="H299" s="136">
        <v>14.882202600000001</v>
      </c>
      <c r="I299" s="135">
        <v>1</v>
      </c>
      <c r="J299" s="136">
        <v>6.5</v>
      </c>
      <c r="K299" s="135">
        <v>0</v>
      </c>
      <c r="L299" s="136">
        <v>0</v>
      </c>
      <c r="M299" s="135">
        <v>0</v>
      </c>
      <c r="N299" s="136">
        <v>0</v>
      </c>
      <c r="O299" s="135">
        <v>3</v>
      </c>
      <c r="P299" s="136">
        <v>2.238085122857143</v>
      </c>
      <c r="Q299" s="135">
        <v>0</v>
      </c>
      <c r="R299" s="136">
        <v>0</v>
      </c>
    </row>
    <row r="300" spans="1:18">
      <c r="A300" s="99" t="s">
        <v>93</v>
      </c>
      <c r="B300" s="94">
        <f t="shared" si="82"/>
        <v>7</v>
      </c>
      <c r="C300" s="95">
        <f t="shared" si="83"/>
        <v>26.678357099376328</v>
      </c>
      <c r="D300" s="96">
        <f t="shared" si="84"/>
        <v>0.12373657840910346</v>
      </c>
      <c r="F300" s="97" t="s">
        <v>93</v>
      </c>
      <c r="G300" s="135">
        <v>0</v>
      </c>
      <c r="H300" s="136">
        <v>0</v>
      </c>
      <c r="I300" s="135">
        <v>4</v>
      </c>
      <c r="J300" s="136">
        <v>23.46</v>
      </c>
      <c r="K300" s="135">
        <v>0</v>
      </c>
      <c r="L300" s="136">
        <v>0</v>
      </c>
      <c r="M300" s="135">
        <v>0</v>
      </c>
      <c r="N300" s="136">
        <v>0</v>
      </c>
      <c r="O300" s="135">
        <v>3</v>
      </c>
      <c r="P300" s="136">
        <v>3.2183570993763251</v>
      </c>
      <c r="Q300" s="135">
        <v>0</v>
      </c>
      <c r="R300" s="136">
        <v>0</v>
      </c>
    </row>
    <row r="301" spans="1:18">
      <c r="A301" s="99" t="s">
        <v>94</v>
      </c>
      <c r="B301" s="94">
        <f t="shared" si="82"/>
        <v>3</v>
      </c>
      <c r="C301" s="95">
        <f t="shared" si="83"/>
        <v>1.4817767800000001</v>
      </c>
      <c r="D301" s="96">
        <f t="shared" si="84"/>
        <v>6.8726116844558286E-3</v>
      </c>
      <c r="F301" s="97" t="s">
        <v>94</v>
      </c>
      <c r="G301" s="135">
        <v>0</v>
      </c>
      <c r="H301" s="136">
        <v>0</v>
      </c>
      <c r="I301" s="135">
        <v>0</v>
      </c>
      <c r="J301" s="136">
        <v>0</v>
      </c>
      <c r="K301" s="135">
        <v>0</v>
      </c>
      <c r="L301" s="136">
        <v>0</v>
      </c>
      <c r="M301" s="135">
        <v>0</v>
      </c>
      <c r="N301" s="136">
        <v>0</v>
      </c>
      <c r="O301" s="135">
        <v>3</v>
      </c>
      <c r="P301" s="136">
        <v>1.4817767800000001</v>
      </c>
      <c r="Q301" s="135">
        <v>0</v>
      </c>
      <c r="R301" s="136">
        <v>0</v>
      </c>
    </row>
    <row r="302" spans="1:18">
      <c r="A302" s="99" t="s">
        <v>95</v>
      </c>
      <c r="B302" s="94">
        <f t="shared" si="82"/>
        <v>9</v>
      </c>
      <c r="C302" s="95">
        <f t="shared" si="83"/>
        <v>18.673078610899807</v>
      </c>
      <c r="D302" s="96">
        <f t="shared" si="84"/>
        <v>8.6607389168314702E-2</v>
      </c>
      <c r="F302" s="97" t="s">
        <v>95</v>
      </c>
      <c r="G302" s="135">
        <v>2</v>
      </c>
      <c r="H302" s="136">
        <v>15.35644048</v>
      </c>
      <c r="I302" s="135">
        <v>2</v>
      </c>
      <c r="J302" s="136">
        <v>1</v>
      </c>
      <c r="K302" s="135">
        <v>0</v>
      </c>
      <c r="L302" s="136">
        <v>0</v>
      </c>
      <c r="M302" s="135">
        <v>0</v>
      </c>
      <c r="N302" s="136">
        <v>0</v>
      </c>
      <c r="O302" s="135">
        <v>5</v>
      </c>
      <c r="P302" s="136">
        <v>2.3166381308998072</v>
      </c>
      <c r="Q302" s="135">
        <v>0</v>
      </c>
      <c r="R302" s="136">
        <v>0</v>
      </c>
    </row>
    <row r="303" spans="1:18">
      <c r="A303" s="99" t="s">
        <v>96</v>
      </c>
      <c r="B303" s="94">
        <f t="shared" si="82"/>
        <v>2</v>
      </c>
      <c r="C303" s="95">
        <f t="shared" si="83"/>
        <v>1.35463</v>
      </c>
      <c r="D303" s="96">
        <f t="shared" si="84"/>
        <v>6.2828936799201283E-3</v>
      </c>
      <c r="F303" s="97" t="s">
        <v>96</v>
      </c>
      <c r="G303" s="135">
        <v>0</v>
      </c>
      <c r="H303" s="136">
        <v>0</v>
      </c>
      <c r="I303" s="135">
        <v>0</v>
      </c>
      <c r="J303" s="136">
        <v>0</v>
      </c>
      <c r="K303" s="135">
        <v>0</v>
      </c>
      <c r="L303" s="136">
        <v>0</v>
      </c>
      <c r="M303" s="135">
        <v>0</v>
      </c>
      <c r="N303" s="136">
        <v>0</v>
      </c>
      <c r="O303" s="135">
        <v>2</v>
      </c>
      <c r="P303" s="136">
        <v>1.35463</v>
      </c>
      <c r="Q303" s="135">
        <v>0</v>
      </c>
      <c r="R303" s="136">
        <v>0</v>
      </c>
    </row>
    <row r="304" spans="1:18">
      <c r="A304" s="99" t="s">
        <v>97</v>
      </c>
      <c r="B304" s="94">
        <f t="shared" si="82"/>
        <v>0</v>
      </c>
      <c r="C304" s="95">
        <f t="shared" si="83"/>
        <v>0.21136890556597876</v>
      </c>
      <c r="D304" s="96">
        <f t="shared" si="84"/>
        <v>9.80347667563927E-4</v>
      </c>
      <c r="F304" s="97" t="s">
        <v>97</v>
      </c>
      <c r="G304" s="135">
        <v>0</v>
      </c>
      <c r="H304" s="136">
        <v>0</v>
      </c>
      <c r="I304" s="135">
        <v>0</v>
      </c>
      <c r="J304" s="136">
        <v>0</v>
      </c>
      <c r="K304" s="135">
        <v>0</v>
      </c>
      <c r="L304" s="136">
        <v>0</v>
      </c>
      <c r="M304" s="135">
        <v>0</v>
      </c>
      <c r="N304" s="136">
        <v>0</v>
      </c>
      <c r="O304" s="135">
        <v>0</v>
      </c>
      <c r="P304" s="136">
        <v>0.21136890556597876</v>
      </c>
      <c r="Q304" s="135">
        <v>0</v>
      </c>
      <c r="R304" s="136">
        <v>0</v>
      </c>
    </row>
    <row r="305" spans="1:18">
      <c r="A305" s="99" t="s">
        <v>98</v>
      </c>
      <c r="B305" s="94">
        <f t="shared" si="82"/>
        <v>3</v>
      </c>
      <c r="C305" s="95">
        <f t="shared" si="83"/>
        <v>2.4920318799999999</v>
      </c>
      <c r="D305" s="96">
        <f t="shared" si="84"/>
        <v>1.155826413781732E-2</v>
      </c>
      <c r="F305" s="97" t="s">
        <v>98</v>
      </c>
      <c r="G305" s="135">
        <v>1</v>
      </c>
      <c r="H305" s="136">
        <v>0.50019787999999998</v>
      </c>
      <c r="I305" s="135">
        <v>0</v>
      </c>
      <c r="J305" s="136">
        <v>0</v>
      </c>
      <c r="K305" s="135">
        <v>0</v>
      </c>
      <c r="L305" s="136">
        <v>0</v>
      </c>
      <c r="M305" s="135">
        <v>0</v>
      </c>
      <c r="N305" s="136">
        <v>0</v>
      </c>
      <c r="O305" s="135">
        <v>2</v>
      </c>
      <c r="P305" s="136">
        <v>1.9918339999999999</v>
      </c>
      <c r="Q305" s="135">
        <v>0</v>
      </c>
      <c r="R305" s="136">
        <v>0</v>
      </c>
    </row>
    <row r="306" spans="1:18">
      <c r="A306" s="99" t="s">
        <v>99</v>
      </c>
      <c r="B306" s="94">
        <f t="shared" si="82"/>
        <v>33</v>
      </c>
      <c r="C306" s="95">
        <f t="shared" si="83"/>
        <v>86.278405486421534</v>
      </c>
      <c r="D306" s="96">
        <f t="shared" si="84"/>
        <v>0.40016687106015963</v>
      </c>
      <c r="F306" s="97" t="s">
        <v>99</v>
      </c>
      <c r="G306" s="135">
        <v>5</v>
      </c>
      <c r="H306" s="136">
        <v>38.310763159999993</v>
      </c>
      <c r="I306" s="135">
        <v>9</v>
      </c>
      <c r="J306" s="136">
        <v>33</v>
      </c>
      <c r="K306" s="135">
        <v>0</v>
      </c>
      <c r="L306" s="136">
        <v>0</v>
      </c>
      <c r="M306" s="135">
        <v>0</v>
      </c>
      <c r="N306" s="136">
        <v>0</v>
      </c>
      <c r="O306" s="135">
        <v>19</v>
      </c>
      <c r="P306" s="136">
        <v>14.967642326421544</v>
      </c>
      <c r="Q306" s="135">
        <v>0</v>
      </c>
      <c r="R306" s="136">
        <v>0</v>
      </c>
    </row>
    <row r="307" spans="1:18">
      <c r="A307" s="99" t="s">
        <v>100</v>
      </c>
      <c r="B307" s="94">
        <f t="shared" si="82"/>
        <v>5</v>
      </c>
      <c r="C307" s="95">
        <f t="shared" si="83"/>
        <v>9.3533765100000004</v>
      </c>
      <c r="D307" s="96">
        <f t="shared" si="84"/>
        <v>4.338178702715309E-2</v>
      </c>
      <c r="F307" s="97" t="s">
        <v>100</v>
      </c>
      <c r="G307" s="135">
        <v>1</v>
      </c>
      <c r="H307" s="136">
        <v>7.3011681600000005</v>
      </c>
      <c r="I307" s="135">
        <v>0</v>
      </c>
      <c r="J307" s="136">
        <v>0</v>
      </c>
      <c r="K307" s="135">
        <v>0</v>
      </c>
      <c r="L307" s="136">
        <v>0</v>
      </c>
      <c r="M307" s="135">
        <v>0</v>
      </c>
      <c r="N307" s="136">
        <v>0</v>
      </c>
      <c r="O307" s="135">
        <v>4</v>
      </c>
      <c r="P307" s="136">
        <v>2.0522083499999995</v>
      </c>
      <c r="Q307" s="135">
        <v>0</v>
      </c>
      <c r="R307" s="136">
        <v>0</v>
      </c>
    </row>
    <row r="308" spans="1:18">
      <c r="A308" s="99" t="s">
        <v>101</v>
      </c>
      <c r="B308" s="94">
        <f t="shared" si="82"/>
        <v>10</v>
      </c>
      <c r="C308" s="95">
        <f t="shared" si="83"/>
        <v>35.328742448205134</v>
      </c>
      <c r="D308" s="96">
        <f t="shared" si="84"/>
        <v>0.16385783029118947</v>
      </c>
      <c r="F308" s="97" t="s">
        <v>101</v>
      </c>
      <c r="G308" s="135">
        <v>2</v>
      </c>
      <c r="H308" s="136">
        <v>9.5655373200000007</v>
      </c>
      <c r="I308" s="135">
        <v>5</v>
      </c>
      <c r="J308" s="136">
        <v>23.5</v>
      </c>
      <c r="K308" s="135">
        <v>0</v>
      </c>
      <c r="L308" s="136">
        <v>0</v>
      </c>
      <c r="M308" s="135">
        <v>0</v>
      </c>
      <c r="N308" s="136">
        <v>0</v>
      </c>
      <c r="O308" s="135">
        <v>3</v>
      </c>
      <c r="P308" s="136">
        <v>2.2632051282051284</v>
      </c>
      <c r="Q308" s="135">
        <v>0</v>
      </c>
      <c r="R308" s="136">
        <v>0</v>
      </c>
    </row>
    <row r="309" spans="1:18">
      <c r="A309" s="84" t="s">
        <v>35</v>
      </c>
      <c r="B309" s="85">
        <f>B310+B322</f>
        <v>1242</v>
      </c>
      <c r="C309" s="86">
        <f>C310+C322</f>
        <v>4331.2545170253597</v>
      </c>
      <c r="D309" s="87">
        <f>D310+D322</f>
        <v>1.0000000000000002</v>
      </c>
      <c r="F309" s="84" t="s">
        <v>35</v>
      </c>
      <c r="G309" s="85">
        <f>SUM(G310:G321)</f>
        <v>115</v>
      </c>
      <c r="H309" s="86">
        <f t="shared" ref="H309:R309" si="85">SUM(H310:H321)</f>
        <v>3575.566126044102</v>
      </c>
      <c r="I309" s="85">
        <f t="shared" si="85"/>
        <v>63</v>
      </c>
      <c r="J309" s="86">
        <f t="shared" si="85"/>
        <v>345.79</v>
      </c>
      <c r="K309" s="85">
        <f t="shared" si="85"/>
        <v>0</v>
      </c>
      <c r="L309" s="86">
        <f t="shared" si="85"/>
        <v>0</v>
      </c>
      <c r="M309" s="85">
        <f t="shared" si="85"/>
        <v>0</v>
      </c>
      <c r="N309" s="86">
        <f t="shared" si="85"/>
        <v>0</v>
      </c>
      <c r="O309" s="85">
        <f t="shared" si="85"/>
        <v>299</v>
      </c>
      <c r="P309" s="86">
        <f t="shared" si="85"/>
        <v>222.76241915125786</v>
      </c>
      <c r="Q309" s="85">
        <f t="shared" si="85"/>
        <v>765</v>
      </c>
      <c r="R309" s="86">
        <f t="shared" si="85"/>
        <v>187.13597182999999</v>
      </c>
    </row>
    <row r="310" spans="1:18">
      <c r="A310" s="88" t="s">
        <v>90</v>
      </c>
      <c r="B310" s="89">
        <f>SUM(B311:B321)</f>
        <v>477</v>
      </c>
      <c r="C310" s="90">
        <f>SUM(C311:C321)</f>
        <v>4144.1185451953597</v>
      </c>
      <c r="D310" s="91">
        <f>SUM(D311:D321)</f>
        <v>0.95679404867702822</v>
      </c>
      <c r="F310" s="92"/>
      <c r="G310" s="89"/>
      <c r="H310" s="90"/>
      <c r="I310" s="89"/>
      <c r="J310" s="90"/>
      <c r="K310" s="89"/>
      <c r="L310" s="90"/>
      <c r="M310" s="89"/>
      <c r="N310" s="90"/>
      <c r="O310" s="89"/>
      <c r="P310" s="90"/>
      <c r="Q310" s="89"/>
      <c r="R310" s="90"/>
    </row>
    <row r="311" spans="1:18">
      <c r="A311" s="93" t="s">
        <v>91</v>
      </c>
      <c r="B311" s="94">
        <f t="shared" ref="B311:B321" si="86">G311+I311+K311+M311+O311</f>
        <v>68</v>
      </c>
      <c r="C311" s="95">
        <f t="shared" ref="C311:C321" si="87">H311+J311+L311+N311+P311</f>
        <v>324.75022915</v>
      </c>
      <c r="D311" s="96">
        <f>C311/$C$309</f>
        <v>7.4978329690270323E-2</v>
      </c>
      <c r="F311" s="97" t="s">
        <v>91</v>
      </c>
      <c r="G311" s="135">
        <v>16</v>
      </c>
      <c r="H311" s="136">
        <v>251.52118014999999</v>
      </c>
      <c r="I311" s="135">
        <v>12</v>
      </c>
      <c r="J311" s="136">
        <v>39.22</v>
      </c>
      <c r="K311" s="135">
        <v>0</v>
      </c>
      <c r="L311" s="136">
        <v>0</v>
      </c>
      <c r="M311" s="135">
        <v>0</v>
      </c>
      <c r="N311" s="136">
        <v>0</v>
      </c>
      <c r="O311" s="135">
        <v>40</v>
      </c>
      <c r="P311" s="136">
        <v>34.009048999999997</v>
      </c>
      <c r="Q311" s="135">
        <v>0</v>
      </c>
      <c r="R311" s="136">
        <v>0</v>
      </c>
    </row>
    <row r="312" spans="1:18">
      <c r="A312" s="93" t="s">
        <v>92</v>
      </c>
      <c r="B312" s="94">
        <f t="shared" si="86"/>
        <v>35</v>
      </c>
      <c r="C312" s="95">
        <f t="shared" si="87"/>
        <v>185.34736808</v>
      </c>
      <c r="D312" s="96">
        <f t="shared" ref="D312:D324" si="88">C312/$C$309</f>
        <v>4.2792998506883811E-2</v>
      </c>
      <c r="F312" s="97" t="s">
        <v>92</v>
      </c>
      <c r="G312" s="135">
        <v>7</v>
      </c>
      <c r="H312" s="136">
        <v>136.06914608</v>
      </c>
      <c r="I312" s="135">
        <v>7</v>
      </c>
      <c r="J312" s="136">
        <v>36.89</v>
      </c>
      <c r="K312" s="135">
        <v>0</v>
      </c>
      <c r="L312" s="136">
        <v>0</v>
      </c>
      <c r="M312" s="135">
        <v>0</v>
      </c>
      <c r="N312" s="136">
        <v>0</v>
      </c>
      <c r="O312" s="135">
        <v>21</v>
      </c>
      <c r="P312" s="136">
        <v>12.388222000000003</v>
      </c>
      <c r="Q312" s="135">
        <v>0</v>
      </c>
      <c r="R312" s="136">
        <v>0</v>
      </c>
    </row>
    <row r="313" spans="1:18">
      <c r="A313" s="93" t="s">
        <v>93</v>
      </c>
      <c r="B313" s="94">
        <f t="shared" si="86"/>
        <v>44</v>
      </c>
      <c r="C313" s="95">
        <f t="shared" si="87"/>
        <v>460.33353445950621</v>
      </c>
      <c r="D313" s="96">
        <f t="shared" si="88"/>
        <v>0.10628180187749768</v>
      </c>
      <c r="F313" s="97" t="s">
        <v>93</v>
      </c>
      <c r="G313" s="135">
        <v>8</v>
      </c>
      <c r="H313" s="136">
        <v>404.75233204</v>
      </c>
      <c r="I313" s="135">
        <v>7</v>
      </c>
      <c r="J313" s="136">
        <v>32</v>
      </c>
      <c r="K313" s="135">
        <v>0</v>
      </c>
      <c r="L313" s="136">
        <v>0</v>
      </c>
      <c r="M313" s="135">
        <v>0</v>
      </c>
      <c r="N313" s="136">
        <v>0</v>
      </c>
      <c r="O313" s="135">
        <v>29</v>
      </c>
      <c r="P313" s="136">
        <v>23.581202419506209</v>
      </c>
      <c r="Q313" s="135">
        <v>0</v>
      </c>
      <c r="R313" s="136">
        <v>0</v>
      </c>
    </row>
    <row r="314" spans="1:18">
      <c r="A314" s="93" t="s">
        <v>94</v>
      </c>
      <c r="B314" s="94">
        <f t="shared" si="86"/>
        <v>59</v>
      </c>
      <c r="C314" s="95">
        <f t="shared" si="87"/>
        <v>423.75370928872405</v>
      </c>
      <c r="D314" s="96">
        <f t="shared" si="88"/>
        <v>9.7836252204304017E-2</v>
      </c>
      <c r="F314" s="97" t="s">
        <v>94</v>
      </c>
      <c r="G314" s="135">
        <v>16</v>
      </c>
      <c r="H314" s="136">
        <v>393.33908088999999</v>
      </c>
      <c r="I314" s="135">
        <v>1</v>
      </c>
      <c r="J314" s="136">
        <v>2.5</v>
      </c>
      <c r="K314" s="135">
        <v>0</v>
      </c>
      <c r="L314" s="136">
        <v>0</v>
      </c>
      <c r="M314" s="135">
        <v>0</v>
      </c>
      <c r="N314" s="136">
        <v>0</v>
      </c>
      <c r="O314" s="135">
        <v>42</v>
      </c>
      <c r="P314" s="136">
        <v>27.914628398724073</v>
      </c>
      <c r="Q314" s="135">
        <v>442</v>
      </c>
      <c r="R314" s="136">
        <v>102.70775737</v>
      </c>
    </row>
    <row r="315" spans="1:18">
      <c r="A315" s="93" t="s">
        <v>95</v>
      </c>
      <c r="B315" s="94">
        <f t="shared" si="86"/>
        <v>54</v>
      </c>
      <c r="C315" s="95">
        <f t="shared" si="87"/>
        <v>429.83028647263302</v>
      </c>
      <c r="D315" s="96">
        <f t="shared" si="88"/>
        <v>9.9239212284350814E-2</v>
      </c>
      <c r="F315" s="97" t="s">
        <v>95</v>
      </c>
      <c r="G315" s="135">
        <v>15</v>
      </c>
      <c r="H315" s="136">
        <v>350.24623944000001</v>
      </c>
      <c r="I315" s="135">
        <v>14</v>
      </c>
      <c r="J315" s="136">
        <v>59.5</v>
      </c>
      <c r="K315" s="135">
        <v>0</v>
      </c>
      <c r="L315" s="136">
        <v>0</v>
      </c>
      <c r="M315" s="135">
        <v>0</v>
      </c>
      <c r="N315" s="136">
        <v>0</v>
      </c>
      <c r="O315" s="135">
        <v>25</v>
      </c>
      <c r="P315" s="136">
        <v>20.084047032632991</v>
      </c>
      <c r="Q315" s="135">
        <v>0</v>
      </c>
      <c r="R315" s="136">
        <v>0</v>
      </c>
    </row>
    <row r="316" spans="1:18">
      <c r="A316" s="93" t="s">
        <v>96</v>
      </c>
      <c r="B316" s="94">
        <f t="shared" si="86"/>
        <v>22</v>
      </c>
      <c r="C316" s="95">
        <f t="shared" si="87"/>
        <v>212.19132504999999</v>
      </c>
      <c r="D316" s="96">
        <f t="shared" si="88"/>
        <v>4.899073102629161E-2</v>
      </c>
      <c r="F316" s="97" t="s">
        <v>96</v>
      </c>
      <c r="G316" s="135">
        <v>9</v>
      </c>
      <c r="H316" s="136">
        <v>202.92648825999999</v>
      </c>
      <c r="I316" s="135">
        <v>1</v>
      </c>
      <c r="J316" s="136">
        <v>0.5</v>
      </c>
      <c r="K316" s="135">
        <v>0</v>
      </c>
      <c r="L316" s="136">
        <v>0</v>
      </c>
      <c r="M316" s="135">
        <v>0</v>
      </c>
      <c r="N316" s="136">
        <v>0</v>
      </c>
      <c r="O316" s="135">
        <v>12</v>
      </c>
      <c r="P316" s="136">
        <v>8.7648367900000004</v>
      </c>
      <c r="Q316" s="135">
        <v>323</v>
      </c>
      <c r="R316" s="136">
        <v>84.428214459999992</v>
      </c>
    </row>
    <row r="317" spans="1:18">
      <c r="A317" s="93" t="s">
        <v>97</v>
      </c>
      <c r="B317" s="94">
        <f t="shared" si="86"/>
        <v>5</v>
      </c>
      <c r="C317" s="95">
        <f t="shared" si="87"/>
        <v>82.674478451020533</v>
      </c>
      <c r="D317" s="96">
        <f t="shared" si="88"/>
        <v>1.9087882766076772E-2</v>
      </c>
      <c r="F317" s="97" t="s">
        <v>97</v>
      </c>
      <c r="G317" s="135">
        <v>2</v>
      </c>
      <c r="H317" s="136">
        <v>76.14</v>
      </c>
      <c r="I317" s="135">
        <v>2</v>
      </c>
      <c r="J317" s="136">
        <v>5.48</v>
      </c>
      <c r="K317" s="135">
        <v>0</v>
      </c>
      <c r="L317" s="136">
        <v>0</v>
      </c>
      <c r="M317" s="135">
        <v>0</v>
      </c>
      <c r="N317" s="136">
        <v>0</v>
      </c>
      <c r="O317" s="135">
        <v>1</v>
      </c>
      <c r="P317" s="136">
        <v>1.0544784510205243</v>
      </c>
      <c r="Q317" s="135">
        <v>0</v>
      </c>
      <c r="R317" s="136">
        <v>0</v>
      </c>
    </row>
    <row r="318" spans="1:18">
      <c r="A318" s="93" t="s">
        <v>98</v>
      </c>
      <c r="B318" s="94">
        <f t="shared" si="86"/>
        <v>7</v>
      </c>
      <c r="C318" s="95">
        <f t="shared" si="87"/>
        <v>22.091462999999997</v>
      </c>
      <c r="D318" s="96">
        <f t="shared" si="88"/>
        <v>5.1004767586763939E-3</v>
      </c>
      <c r="F318" s="97" t="s">
        <v>98</v>
      </c>
      <c r="G318" s="135">
        <v>0</v>
      </c>
      <c r="H318" s="136">
        <v>0</v>
      </c>
      <c r="I318" s="135">
        <v>1</v>
      </c>
      <c r="J318" s="136">
        <v>16.899999999999999</v>
      </c>
      <c r="K318" s="135">
        <v>0</v>
      </c>
      <c r="L318" s="136">
        <v>0</v>
      </c>
      <c r="M318" s="135">
        <v>0</v>
      </c>
      <c r="N318" s="136">
        <v>0</v>
      </c>
      <c r="O318" s="135">
        <v>6</v>
      </c>
      <c r="P318" s="136">
        <v>5.1914629999999997</v>
      </c>
      <c r="Q318" s="135">
        <v>0</v>
      </c>
      <c r="R318" s="136">
        <v>0</v>
      </c>
    </row>
    <row r="319" spans="1:18">
      <c r="A319" s="93" t="s">
        <v>99</v>
      </c>
      <c r="B319" s="94">
        <f t="shared" si="86"/>
        <v>80</v>
      </c>
      <c r="C319" s="95">
        <f t="shared" si="87"/>
        <v>877.08702704450229</v>
      </c>
      <c r="D319" s="96">
        <f t="shared" si="88"/>
        <v>0.20250184411856553</v>
      </c>
      <c r="F319" s="97" t="s">
        <v>99</v>
      </c>
      <c r="G319" s="135">
        <v>13</v>
      </c>
      <c r="H319" s="136">
        <v>830.45953503999999</v>
      </c>
      <c r="I319" s="135">
        <v>2</v>
      </c>
      <c r="J319" s="136">
        <v>4</v>
      </c>
      <c r="K319" s="135">
        <v>0</v>
      </c>
      <c r="L319" s="136">
        <v>0</v>
      </c>
      <c r="M319" s="135">
        <v>0</v>
      </c>
      <c r="N319" s="136">
        <v>0</v>
      </c>
      <c r="O319" s="135">
        <v>65</v>
      </c>
      <c r="P319" s="136">
        <v>42.627492004502258</v>
      </c>
      <c r="Q319" s="135">
        <v>0</v>
      </c>
      <c r="R319" s="136">
        <v>0</v>
      </c>
    </row>
    <row r="320" spans="1:18">
      <c r="A320" s="93" t="s">
        <v>100</v>
      </c>
      <c r="B320" s="94">
        <f t="shared" si="86"/>
        <v>57</v>
      </c>
      <c r="C320" s="95">
        <f t="shared" si="87"/>
        <v>695.08025958666667</v>
      </c>
      <c r="D320" s="96">
        <f t="shared" si="88"/>
        <v>0.16048012345024631</v>
      </c>
      <c r="F320" s="97" t="s">
        <v>100</v>
      </c>
      <c r="G320" s="135">
        <v>15</v>
      </c>
      <c r="H320" s="136">
        <v>602.73996465999994</v>
      </c>
      <c r="I320" s="135">
        <v>7</v>
      </c>
      <c r="J320" s="136">
        <v>65.599999999999994</v>
      </c>
      <c r="K320" s="135">
        <v>0</v>
      </c>
      <c r="L320" s="136">
        <v>0</v>
      </c>
      <c r="M320" s="135">
        <v>0</v>
      </c>
      <c r="N320" s="136">
        <v>0</v>
      </c>
      <c r="O320" s="135">
        <v>35</v>
      </c>
      <c r="P320" s="136">
        <v>26.740294926666667</v>
      </c>
      <c r="Q320" s="135">
        <v>0</v>
      </c>
      <c r="R320" s="136">
        <v>0</v>
      </c>
    </row>
    <row r="321" spans="1:18">
      <c r="A321" s="93" t="s">
        <v>101</v>
      </c>
      <c r="B321" s="94">
        <f t="shared" si="86"/>
        <v>46</v>
      </c>
      <c r="C321" s="95">
        <f t="shared" si="87"/>
        <v>430.97886461230786</v>
      </c>
      <c r="D321" s="96">
        <f t="shared" si="88"/>
        <v>9.9504395993864986E-2</v>
      </c>
      <c r="F321" s="97" t="s">
        <v>101</v>
      </c>
      <c r="G321" s="135">
        <v>14</v>
      </c>
      <c r="H321" s="136">
        <v>327.37215948410272</v>
      </c>
      <c r="I321" s="135">
        <v>9</v>
      </c>
      <c r="J321" s="136">
        <v>83.2</v>
      </c>
      <c r="K321" s="135">
        <v>0</v>
      </c>
      <c r="L321" s="136">
        <v>0</v>
      </c>
      <c r="M321" s="135">
        <v>0</v>
      </c>
      <c r="N321" s="136">
        <v>0</v>
      </c>
      <c r="O321" s="135">
        <v>23</v>
      </c>
      <c r="P321" s="136">
        <v>20.406705128205129</v>
      </c>
      <c r="Q321" s="135">
        <v>0</v>
      </c>
      <c r="R321" s="136">
        <v>0</v>
      </c>
    </row>
    <row r="322" spans="1:18" ht="17.25">
      <c r="A322" s="104" t="s">
        <v>103</v>
      </c>
      <c r="B322" s="89">
        <f>SUM(B323:B324)</f>
        <v>765</v>
      </c>
      <c r="C322" s="90">
        <f>SUM(C323:C324)</f>
        <v>187.13597182999999</v>
      </c>
      <c r="D322" s="91">
        <f>SUM(D323:D324)</f>
        <v>4.3205951322971933E-2</v>
      </c>
      <c r="E322" s="123"/>
      <c r="F322" s="97"/>
      <c r="G322" s="135"/>
      <c r="H322" s="136"/>
      <c r="I322" s="135"/>
      <c r="J322" s="136"/>
      <c r="K322" s="135"/>
      <c r="L322" s="136"/>
      <c r="M322" s="135"/>
      <c r="N322" s="136"/>
      <c r="O322" s="135"/>
      <c r="P322" s="136"/>
      <c r="Q322" s="135"/>
      <c r="R322" s="136"/>
    </row>
    <row r="323" spans="1:18">
      <c r="A323" s="93" t="s">
        <v>94</v>
      </c>
      <c r="B323" s="94">
        <f>Q314</f>
        <v>442</v>
      </c>
      <c r="C323" s="95">
        <f>R314</f>
        <v>102.70775737</v>
      </c>
      <c r="D323" s="96">
        <f t="shared" si="88"/>
        <v>2.3713166004508582E-2</v>
      </c>
      <c r="F323" s="97"/>
      <c r="G323" s="135"/>
      <c r="H323" s="136"/>
      <c r="I323" s="135"/>
      <c r="J323" s="136"/>
      <c r="K323" s="135"/>
      <c r="L323" s="136"/>
      <c r="M323" s="135"/>
      <c r="N323" s="136"/>
      <c r="O323" s="135"/>
      <c r="P323" s="136"/>
      <c r="Q323" s="135"/>
      <c r="R323" s="136"/>
    </row>
    <row r="324" spans="1:18">
      <c r="A324" s="93" t="s">
        <v>96</v>
      </c>
      <c r="B324" s="94">
        <f>Q316</f>
        <v>323</v>
      </c>
      <c r="C324" s="95">
        <f>R316</f>
        <v>84.428214459999992</v>
      </c>
      <c r="D324" s="96">
        <f t="shared" si="88"/>
        <v>1.9492785318463348E-2</v>
      </c>
      <c r="F324" s="97"/>
      <c r="G324" s="135"/>
      <c r="H324" s="136"/>
      <c r="I324" s="135"/>
      <c r="J324" s="136"/>
      <c r="K324" s="135"/>
      <c r="L324" s="136"/>
      <c r="M324" s="135"/>
      <c r="N324" s="136"/>
      <c r="O324" s="135"/>
      <c r="P324" s="136"/>
      <c r="Q324" s="135"/>
      <c r="R324" s="136"/>
    </row>
    <row r="325" spans="1:18">
      <c r="A325" s="84" t="s">
        <v>109</v>
      </c>
      <c r="B325" s="85">
        <f>B326+B338</f>
        <v>174</v>
      </c>
      <c r="C325" s="86">
        <f>C326+C338</f>
        <v>4865.1045028520239</v>
      </c>
      <c r="D325" s="87">
        <f>D326+D338</f>
        <v>1</v>
      </c>
      <c r="F325" s="84" t="s">
        <v>109</v>
      </c>
      <c r="G325" s="85">
        <f>SUM(G327:G337)</f>
        <v>59</v>
      </c>
      <c r="H325" s="86">
        <f t="shared" ref="H325:R325" si="89">SUM(H327:H337)</f>
        <v>4505.6647714000001</v>
      </c>
      <c r="I325" s="85">
        <f t="shared" si="89"/>
        <v>11</v>
      </c>
      <c r="J325" s="86">
        <f t="shared" si="89"/>
        <v>86.8</v>
      </c>
      <c r="K325" s="85">
        <f t="shared" si="89"/>
        <v>2</v>
      </c>
      <c r="L325" s="86">
        <f t="shared" si="89"/>
        <v>30</v>
      </c>
      <c r="M325" s="85">
        <f t="shared" si="89"/>
        <v>2</v>
      </c>
      <c r="N325" s="86">
        <f t="shared" si="89"/>
        <v>103.09869712999999</v>
      </c>
      <c r="O325" s="85">
        <f t="shared" si="89"/>
        <v>89</v>
      </c>
      <c r="P325" s="86">
        <f t="shared" si="89"/>
        <v>129.68888287202398</v>
      </c>
      <c r="Q325" s="85">
        <f t="shared" si="89"/>
        <v>11</v>
      </c>
      <c r="R325" s="86">
        <f t="shared" si="89"/>
        <v>9.8521514499999991</v>
      </c>
    </row>
    <row r="326" spans="1:18">
      <c r="A326" s="88" t="s">
        <v>90</v>
      </c>
      <c r="B326" s="89">
        <f>SUM(B327:B337)</f>
        <v>163</v>
      </c>
      <c r="C326" s="90">
        <f>SUM(C327:C337)</f>
        <v>4855.252351402024</v>
      </c>
      <c r="D326" s="91">
        <f>SUM(D327:D337)</f>
        <v>0.99797493528777759</v>
      </c>
      <c r="F326" s="92"/>
      <c r="G326" s="89"/>
      <c r="H326" s="90"/>
      <c r="I326" s="89"/>
      <c r="J326" s="90"/>
      <c r="K326" s="89"/>
      <c r="L326" s="90"/>
      <c r="M326" s="89"/>
      <c r="N326" s="90"/>
      <c r="O326" s="89"/>
      <c r="P326" s="90"/>
      <c r="Q326" s="89"/>
      <c r="R326" s="90"/>
    </row>
    <row r="327" spans="1:18">
      <c r="A327" s="93" t="s">
        <v>91</v>
      </c>
      <c r="B327" s="94">
        <f t="shared" ref="B327:B337" si="90">G327+I327+K327+M327+O327</f>
        <v>46</v>
      </c>
      <c r="C327" s="95">
        <f t="shared" ref="C327:C337" si="91">H327+J327+L327+N327+P327</f>
        <v>696.98537704</v>
      </c>
      <c r="D327" s="96">
        <f t="shared" ref="D327:D340" si="92">C327/$C$325</f>
        <v>0.14326215945236384</v>
      </c>
      <c r="F327" s="97" t="s">
        <v>91</v>
      </c>
      <c r="G327" s="135">
        <v>18</v>
      </c>
      <c r="H327" s="136">
        <v>619.34844004000001</v>
      </c>
      <c r="I327" s="135">
        <v>6</v>
      </c>
      <c r="J327" s="136">
        <v>60</v>
      </c>
      <c r="K327" s="135">
        <v>0</v>
      </c>
      <c r="L327" s="136">
        <v>0</v>
      </c>
      <c r="M327" s="135">
        <v>0</v>
      </c>
      <c r="N327" s="136">
        <v>0</v>
      </c>
      <c r="O327" s="135">
        <v>22</v>
      </c>
      <c r="P327" s="136">
        <v>17.636936999999996</v>
      </c>
      <c r="Q327" s="135">
        <v>0</v>
      </c>
      <c r="R327" s="136">
        <v>0</v>
      </c>
    </row>
    <row r="328" spans="1:18">
      <c r="A328" s="93" t="s">
        <v>92</v>
      </c>
      <c r="B328" s="94">
        <f t="shared" si="90"/>
        <v>7</v>
      </c>
      <c r="C328" s="95">
        <f t="shared" si="91"/>
        <v>131.44999999999999</v>
      </c>
      <c r="D328" s="96">
        <f t="shared" si="92"/>
        <v>2.7018946853647502E-2</v>
      </c>
      <c r="F328" s="97" t="s">
        <v>92</v>
      </c>
      <c r="G328" s="135">
        <v>1</v>
      </c>
      <c r="H328" s="136">
        <v>98.49</v>
      </c>
      <c r="I328" s="135">
        <v>0</v>
      </c>
      <c r="J328" s="136">
        <v>0</v>
      </c>
      <c r="K328" s="135">
        <v>0</v>
      </c>
      <c r="L328" s="136">
        <v>0</v>
      </c>
      <c r="M328" s="135">
        <v>0</v>
      </c>
      <c r="N328" s="136">
        <v>0</v>
      </c>
      <c r="O328" s="135">
        <v>6</v>
      </c>
      <c r="P328" s="136">
        <v>32.96</v>
      </c>
      <c r="Q328" s="135">
        <v>0</v>
      </c>
      <c r="R328" s="136">
        <v>0</v>
      </c>
    </row>
    <row r="329" spans="1:18">
      <c r="A329" s="93" t="s">
        <v>93</v>
      </c>
      <c r="B329" s="94">
        <f t="shared" si="90"/>
        <v>22</v>
      </c>
      <c r="C329" s="95">
        <f t="shared" si="91"/>
        <v>792.2185389199999</v>
      </c>
      <c r="D329" s="96">
        <f t="shared" si="92"/>
        <v>0.16283690071931348</v>
      </c>
      <c r="F329" s="97" t="s">
        <v>93</v>
      </c>
      <c r="G329" s="135">
        <v>9</v>
      </c>
      <c r="H329" s="136">
        <v>678.33984178999992</v>
      </c>
      <c r="I329" s="135">
        <v>0</v>
      </c>
      <c r="J329" s="136">
        <v>0</v>
      </c>
      <c r="K329" s="135">
        <v>0</v>
      </c>
      <c r="L329" s="136">
        <v>0</v>
      </c>
      <c r="M329" s="135">
        <v>2</v>
      </c>
      <c r="N329" s="136">
        <v>103.09869712999999</v>
      </c>
      <c r="O329" s="135">
        <v>11</v>
      </c>
      <c r="P329" s="136">
        <v>10.78</v>
      </c>
      <c r="Q329" s="135">
        <v>0</v>
      </c>
      <c r="R329" s="136">
        <v>0</v>
      </c>
    </row>
    <row r="330" spans="1:18">
      <c r="A330" s="93" t="s">
        <v>94</v>
      </c>
      <c r="B330" s="94">
        <f t="shared" si="90"/>
        <v>7</v>
      </c>
      <c r="C330" s="95">
        <f t="shared" si="91"/>
        <v>34.605817999999999</v>
      </c>
      <c r="D330" s="96">
        <f t="shared" si="92"/>
        <v>7.1130677624115495E-3</v>
      </c>
      <c r="F330" s="97" t="s">
        <v>94</v>
      </c>
      <c r="G330" s="135">
        <v>2</v>
      </c>
      <c r="H330" s="136">
        <v>19.885652</v>
      </c>
      <c r="I330" s="135">
        <v>0</v>
      </c>
      <c r="J330" s="136">
        <v>0</v>
      </c>
      <c r="K330" s="135">
        <v>1</v>
      </c>
      <c r="L330" s="136">
        <v>10</v>
      </c>
      <c r="M330" s="135">
        <v>0</v>
      </c>
      <c r="N330" s="136">
        <v>0</v>
      </c>
      <c r="O330" s="135">
        <v>4</v>
      </c>
      <c r="P330" s="136">
        <v>4.7201660000000007</v>
      </c>
      <c r="Q330" s="135">
        <v>8</v>
      </c>
      <c r="R330" s="136">
        <v>6.3352072899999996</v>
      </c>
    </row>
    <row r="331" spans="1:18">
      <c r="A331" s="93" t="s">
        <v>95</v>
      </c>
      <c r="B331" s="94">
        <f t="shared" si="90"/>
        <v>7</v>
      </c>
      <c r="C331" s="95">
        <f t="shared" si="91"/>
        <v>117.01843586655856</v>
      </c>
      <c r="D331" s="96">
        <f t="shared" si="92"/>
        <v>2.4052604789467514E-2</v>
      </c>
      <c r="F331" s="97" t="s">
        <v>95</v>
      </c>
      <c r="G331" s="135">
        <v>4</v>
      </c>
      <c r="H331" s="136">
        <v>104.21868839999999</v>
      </c>
      <c r="I331" s="135">
        <v>1</v>
      </c>
      <c r="J331" s="136">
        <v>10</v>
      </c>
      <c r="K331" s="135">
        <v>0</v>
      </c>
      <c r="L331" s="136">
        <v>0</v>
      </c>
      <c r="M331" s="135">
        <v>0</v>
      </c>
      <c r="N331" s="136">
        <v>0</v>
      </c>
      <c r="O331" s="135">
        <v>2</v>
      </c>
      <c r="P331" s="136">
        <v>2.7997474665585731</v>
      </c>
      <c r="Q331" s="135">
        <v>0</v>
      </c>
      <c r="R331" s="136">
        <v>0</v>
      </c>
    </row>
    <row r="332" spans="1:18">
      <c r="A332" s="93" t="s">
        <v>96</v>
      </c>
      <c r="B332" s="94">
        <f t="shared" si="90"/>
        <v>10</v>
      </c>
      <c r="C332" s="95">
        <f t="shared" si="91"/>
        <v>29.733399799999997</v>
      </c>
      <c r="D332" s="96">
        <f t="shared" si="92"/>
        <v>6.1115644653819195E-3</v>
      </c>
      <c r="F332" s="97" t="s">
        <v>96</v>
      </c>
      <c r="G332" s="135">
        <v>3</v>
      </c>
      <c r="H332" s="136">
        <v>26.4</v>
      </c>
      <c r="I332" s="135">
        <v>0</v>
      </c>
      <c r="J332" s="136">
        <v>0</v>
      </c>
      <c r="K332" s="135">
        <v>0</v>
      </c>
      <c r="L332" s="136">
        <v>0</v>
      </c>
      <c r="M332" s="135">
        <v>0</v>
      </c>
      <c r="N332" s="136">
        <v>0</v>
      </c>
      <c r="O332" s="135">
        <v>7</v>
      </c>
      <c r="P332" s="136">
        <v>3.3333998</v>
      </c>
      <c r="Q332" s="135">
        <v>3</v>
      </c>
      <c r="R332" s="136">
        <v>3.51694416</v>
      </c>
    </row>
    <row r="333" spans="1:18">
      <c r="A333" s="93" t="s">
        <v>97</v>
      </c>
      <c r="B333" s="94">
        <f t="shared" si="90"/>
        <v>4</v>
      </c>
      <c r="C333" s="95">
        <f t="shared" si="91"/>
        <v>692.58414634146345</v>
      </c>
      <c r="D333" s="96">
        <f t="shared" si="92"/>
        <v>0.14235750659322044</v>
      </c>
      <c r="F333" s="97" t="s">
        <v>97</v>
      </c>
      <c r="G333" s="135">
        <v>4</v>
      </c>
      <c r="H333" s="136">
        <v>692.5</v>
      </c>
      <c r="I333" s="135">
        <v>0</v>
      </c>
      <c r="J333" s="136">
        <v>0</v>
      </c>
      <c r="K333" s="135">
        <v>0</v>
      </c>
      <c r="L333" s="136">
        <v>0</v>
      </c>
      <c r="M333" s="135">
        <v>0</v>
      </c>
      <c r="N333" s="136">
        <v>0</v>
      </c>
      <c r="O333" s="135">
        <v>0</v>
      </c>
      <c r="P333" s="136">
        <v>8.4146341463414626E-2</v>
      </c>
      <c r="Q333" s="135">
        <v>0</v>
      </c>
      <c r="R333" s="136">
        <v>0</v>
      </c>
    </row>
    <row r="334" spans="1:18">
      <c r="A334" s="93" t="s">
        <v>98</v>
      </c>
      <c r="B334" s="94">
        <f t="shared" si="90"/>
        <v>5</v>
      </c>
      <c r="C334" s="95">
        <f t="shared" si="91"/>
        <v>4.9964640000000005</v>
      </c>
      <c r="D334" s="96">
        <f t="shared" si="92"/>
        <v>1.027000344405957E-3</v>
      </c>
      <c r="F334" s="97" t="s">
        <v>98</v>
      </c>
      <c r="G334" s="135">
        <v>0</v>
      </c>
      <c r="H334" s="136">
        <v>0</v>
      </c>
      <c r="I334" s="135">
        <v>0</v>
      </c>
      <c r="J334" s="136">
        <v>0</v>
      </c>
      <c r="K334" s="135">
        <v>0</v>
      </c>
      <c r="L334" s="136">
        <v>0</v>
      </c>
      <c r="M334" s="135">
        <v>0</v>
      </c>
      <c r="N334" s="136">
        <v>0</v>
      </c>
      <c r="O334" s="135">
        <v>5</v>
      </c>
      <c r="P334" s="136">
        <v>4.9964640000000005</v>
      </c>
      <c r="Q334" s="135">
        <v>0</v>
      </c>
      <c r="R334" s="136">
        <v>0</v>
      </c>
    </row>
    <row r="335" spans="1:18">
      <c r="A335" s="93" t="s">
        <v>99</v>
      </c>
      <c r="B335" s="94">
        <f t="shared" si="90"/>
        <v>14</v>
      </c>
      <c r="C335" s="95">
        <f t="shared" si="91"/>
        <v>849.20755016400199</v>
      </c>
      <c r="D335" s="96">
        <f t="shared" si="92"/>
        <v>0.17455073157548395</v>
      </c>
      <c r="F335" s="97" t="s">
        <v>99</v>
      </c>
      <c r="G335" s="135">
        <v>2</v>
      </c>
      <c r="H335" s="136">
        <v>818.74594816000001</v>
      </c>
      <c r="I335" s="135">
        <v>1</v>
      </c>
      <c r="J335" s="136">
        <v>3</v>
      </c>
      <c r="K335" s="135">
        <v>0</v>
      </c>
      <c r="L335" s="136">
        <v>0</v>
      </c>
      <c r="M335" s="135">
        <v>0</v>
      </c>
      <c r="N335" s="136">
        <v>0</v>
      </c>
      <c r="O335" s="135">
        <v>11</v>
      </c>
      <c r="P335" s="136">
        <v>27.461602004002003</v>
      </c>
      <c r="Q335" s="135">
        <v>0</v>
      </c>
      <c r="R335" s="136">
        <v>0</v>
      </c>
    </row>
    <row r="336" spans="1:18">
      <c r="A336" s="93" t="s">
        <v>100</v>
      </c>
      <c r="B336" s="94">
        <f t="shared" si="90"/>
        <v>20</v>
      </c>
      <c r="C336" s="95">
        <f t="shared" si="91"/>
        <v>1064.4439542699999</v>
      </c>
      <c r="D336" s="96">
        <f t="shared" si="92"/>
        <v>0.2187915909403387</v>
      </c>
      <c r="F336" s="97" t="s">
        <v>100</v>
      </c>
      <c r="G336" s="135">
        <v>8</v>
      </c>
      <c r="H336" s="136">
        <v>1041.77620101</v>
      </c>
      <c r="I336" s="135">
        <v>1</v>
      </c>
      <c r="J336" s="136">
        <v>5.8</v>
      </c>
      <c r="K336" s="135">
        <v>0</v>
      </c>
      <c r="L336" s="136">
        <v>0</v>
      </c>
      <c r="M336" s="135">
        <v>0</v>
      </c>
      <c r="N336" s="136">
        <v>0</v>
      </c>
      <c r="O336" s="135">
        <v>11</v>
      </c>
      <c r="P336" s="136">
        <v>16.867753259999997</v>
      </c>
      <c r="Q336" s="135">
        <v>0</v>
      </c>
      <c r="R336" s="136">
        <v>0</v>
      </c>
    </row>
    <row r="337" spans="1:18">
      <c r="A337" s="93" t="s">
        <v>101</v>
      </c>
      <c r="B337" s="94">
        <f t="shared" si="90"/>
        <v>21</v>
      </c>
      <c r="C337" s="95">
        <f t="shared" si="91"/>
        <v>442.00866700000006</v>
      </c>
      <c r="D337" s="96">
        <f t="shared" si="92"/>
        <v>9.0852861791742706E-2</v>
      </c>
      <c r="F337" s="97" t="s">
        <v>101</v>
      </c>
      <c r="G337" s="135">
        <v>8</v>
      </c>
      <c r="H337" s="136">
        <v>405.96000000000004</v>
      </c>
      <c r="I337" s="135">
        <v>2</v>
      </c>
      <c r="J337" s="136">
        <v>8</v>
      </c>
      <c r="K337" s="135">
        <v>1</v>
      </c>
      <c r="L337" s="136">
        <v>20</v>
      </c>
      <c r="M337" s="135">
        <v>0</v>
      </c>
      <c r="N337" s="136">
        <v>0</v>
      </c>
      <c r="O337" s="135">
        <v>10</v>
      </c>
      <c r="P337" s="136">
        <v>8.0486669999999982</v>
      </c>
      <c r="Q337" s="135">
        <v>0</v>
      </c>
      <c r="R337" s="136">
        <v>0</v>
      </c>
    </row>
    <row r="338" spans="1:18" ht="17.25">
      <c r="A338" s="104" t="s">
        <v>104</v>
      </c>
      <c r="B338" s="89">
        <f>SUM(B339:B340)</f>
        <v>11</v>
      </c>
      <c r="C338" s="90">
        <f>SUM(C339:C340)</f>
        <v>9.8521514499999991</v>
      </c>
      <c r="D338" s="91">
        <f>SUM(D339:D340)</f>
        <v>2.025064712222413E-3</v>
      </c>
      <c r="E338" s="123"/>
      <c r="F338" s="97"/>
      <c r="G338" s="135"/>
      <c r="H338" s="136"/>
      <c r="I338" s="135"/>
      <c r="J338" s="136"/>
      <c r="K338" s="135"/>
      <c r="L338" s="136"/>
      <c r="M338" s="135"/>
      <c r="N338" s="136"/>
      <c r="O338" s="135"/>
      <c r="P338" s="136"/>
      <c r="Q338" s="135"/>
      <c r="R338" s="136"/>
    </row>
    <row r="339" spans="1:18">
      <c r="A339" s="93" t="s">
        <v>94</v>
      </c>
      <c r="B339" s="94">
        <f>Q330</f>
        <v>8</v>
      </c>
      <c r="C339" s="95">
        <f>R330</f>
        <v>6.3352072899999996</v>
      </c>
      <c r="D339" s="96">
        <f t="shared" si="92"/>
        <v>1.3021729104248782E-3</v>
      </c>
      <c r="F339" s="97"/>
      <c r="G339" s="135"/>
      <c r="H339" s="136"/>
      <c r="I339" s="135"/>
      <c r="J339" s="136"/>
      <c r="K339" s="135"/>
      <c r="L339" s="136"/>
      <c r="M339" s="135"/>
      <c r="N339" s="136"/>
      <c r="O339" s="135"/>
      <c r="P339" s="136"/>
      <c r="Q339" s="135"/>
      <c r="R339" s="136"/>
    </row>
    <row r="340" spans="1:18">
      <c r="A340" s="93" t="s">
        <v>96</v>
      </c>
      <c r="B340" s="94">
        <f>Q332</f>
        <v>3</v>
      </c>
      <c r="C340" s="95">
        <f>R332</f>
        <v>3.51694416</v>
      </c>
      <c r="D340" s="96">
        <f t="shared" si="92"/>
        <v>7.2289180179753497E-4</v>
      </c>
      <c r="F340" s="97"/>
      <c r="G340" s="135"/>
      <c r="H340" s="136"/>
      <c r="I340" s="135"/>
      <c r="J340" s="136"/>
      <c r="K340" s="135"/>
      <c r="L340" s="136"/>
      <c r="M340" s="135"/>
      <c r="N340" s="136"/>
      <c r="O340" s="135"/>
      <c r="P340" s="136"/>
      <c r="Q340" s="135"/>
      <c r="R340" s="136"/>
    </row>
    <row r="341" spans="1:18">
      <c r="A341" s="84" t="s">
        <v>36</v>
      </c>
      <c r="B341" s="85">
        <f>SUM(B342:B352)</f>
        <v>32</v>
      </c>
      <c r="C341" s="86">
        <f>SUM(C342:C352)</f>
        <v>166.50328755451596</v>
      </c>
      <c r="D341" s="87">
        <f>SUM(D342:D352)</f>
        <v>1.0000000000000002</v>
      </c>
      <c r="F341" s="84" t="s">
        <v>36</v>
      </c>
      <c r="G341" s="85">
        <f>SUM(G342:G352)</f>
        <v>1</v>
      </c>
      <c r="H341" s="86">
        <f t="shared" ref="H341:R341" si="93">SUM(H342:H352)</f>
        <v>5</v>
      </c>
      <c r="I341" s="85">
        <f t="shared" si="93"/>
        <v>17</v>
      </c>
      <c r="J341" s="86">
        <f t="shared" si="93"/>
        <v>145.60900000000001</v>
      </c>
      <c r="K341" s="85">
        <f t="shared" si="93"/>
        <v>0</v>
      </c>
      <c r="L341" s="86">
        <f t="shared" si="93"/>
        <v>0</v>
      </c>
      <c r="M341" s="85">
        <f t="shared" si="93"/>
        <v>0</v>
      </c>
      <c r="N341" s="86">
        <f t="shared" si="93"/>
        <v>0</v>
      </c>
      <c r="O341" s="85">
        <f t="shared" si="93"/>
        <v>14</v>
      </c>
      <c r="P341" s="86">
        <f t="shared" si="93"/>
        <v>15.894287554515966</v>
      </c>
      <c r="Q341" s="85">
        <f t="shared" si="93"/>
        <v>0</v>
      </c>
      <c r="R341" s="86">
        <f t="shared" si="93"/>
        <v>0</v>
      </c>
    </row>
    <row r="342" spans="1:18">
      <c r="A342" s="99" t="s">
        <v>91</v>
      </c>
      <c r="B342" s="94">
        <f t="shared" ref="B342:B352" si="94">G342+I342+K342+M342+O342</f>
        <v>0</v>
      </c>
      <c r="C342" s="95">
        <f t="shared" ref="C342:C352" si="95">H342+J342+L342+N342+P342</f>
        <v>0.24</v>
      </c>
      <c r="D342" s="96">
        <f>C342/$C$341</f>
        <v>1.441412980638115E-3</v>
      </c>
      <c r="F342" s="97" t="s">
        <v>91</v>
      </c>
      <c r="G342" s="135">
        <v>0</v>
      </c>
      <c r="H342" s="136">
        <v>0</v>
      </c>
      <c r="I342" s="135">
        <v>0</v>
      </c>
      <c r="J342" s="136">
        <v>0</v>
      </c>
      <c r="K342" s="135">
        <v>0</v>
      </c>
      <c r="L342" s="136">
        <v>0</v>
      </c>
      <c r="M342" s="135">
        <v>0</v>
      </c>
      <c r="N342" s="136">
        <v>0</v>
      </c>
      <c r="O342" s="135">
        <v>0</v>
      </c>
      <c r="P342" s="136">
        <v>0.24</v>
      </c>
      <c r="Q342" s="135">
        <v>0</v>
      </c>
      <c r="R342" s="136">
        <v>0</v>
      </c>
    </row>
    <row r="343" spans="1:18">
      <c r="A343" s="99" t="s">
        <v>92</v>
      </c>
      <c r="B343" s="94">
        <f t="shared" si="94"/>
        <v>0</v>
      </c>
      <c r="C343" s="95">
        <f t="shared" si="95"/>
        <v>1.347105952857143</v>
      </c>
      <c r="D343" s="96">
        <f t="shared" ref="D343:D352" si="96">C343/$C$341</f>
        <v>8.0905666947631762E-3</v>
      </c>
      <c r="F343" s="97" t="s">
        <v>92</v>
      </c>
      <c r="G343" s="135">
        <v>0</v>
      </c>
      <c r="H343" s="136">
        <v>0</v>
      </c>
      <c r="I343" s="135">
        <v>0</v>
      </c>
      <c r="J343" s="136">
        <v>0</v>
      </c>
      <c r="K343" s="135">
        <v>0</v>
      </c>
      <c r="L343" s="136">
        <v>0</v>
      </c>
      <c r="M343" s="135">
        <v>0</v>
      </c>
      <c r="N343" s="136">
        <v>0</v>
      </c>
      <c r="O343" s="135">
        <v>0</v>
      </c>
      <c r="P343" s="136">
        <v>1.347105952857143</v>
      </c>
      <c r="Q343" s="135">
        <v>0</v>
      </c>
      <c r="R343" s="136">
        <v>0</v>
      </c>
    </row>
    <row r="344" spans="1:18">
      <c r="A344" s="99" t="s">
        <v>93</v>
      </c>
      <c r="B344" s="94">
        <f t="shared" si="94"/>
        <v>8</v>
      </c>
      <c r="C344" s="95">
        <f t="shared" si="95"/>
        <v>33.104571242233469</v>
      </c>
      <c r="D344" s="96">
        <f t="shared" si="96"/>
        <v>0.19882232794589402</v>
      </c>
      <c r="F344" s="97" t="s">
        <v>93</v>
      </c>
      <c r="G344" s="135">
        <v>0</v>
      </c>
      <c r="H344" s="136">
        <v>0</v>
      </c>
      <c r="I344" s="135">
        <v>4</v>
      </c>
      <c r="J344" s="136">
        <v>31.436</v>
      </c>
      <c r="K344" s="135">
        <v>0</v>
      </c>
      <c r="L344" s="136">
        <v>0</v>
      </c>
      <c r="M344" s="135">
        <v>0</v>
      </c>
      <c r="N344" s="136">
        <v>0</v>
      </c>
      <c r="O344" s="135">
        <v>4</v>
      </c>
      <c r="P344" s="136">
        <v>1.6685712422334684</v>
      </c>
      <c r="Q344" s="135">
        <v>0</v>
      </c>
      <c r="R344" s="136">
        <v>0</v>
      </c>
    </row>
    <row r="345" spans="1:18">
      <c r="A345" s="99" t="s">
        <v>94</v>
      </c>
      <c r="B345" s="94">
        <f t="shared" si="94"/>
        <v>4</v>
      </c>
      <c r="C345" s="95">
        <f t="shared" si="95"/>
        <v>6.5775887900000001</v>
      </c>
      <c r="D345" s="96">
        <f t="shared" si="96"/>
        <v>3.9504257763357302E-2</v>
      </c>
      <c r="F345" s="97" t="s">
        <v>94</v>
      </c>
      <c r="G345" s="135">
        <v>1</v>
      </c>
      <c r="H345" s="136">
        <v>5</v>
      </c>
      <c r="I345" s="135">
        <v>0</v>
      </c>
      <c r="J345" s="136">
        <v>0</v>
      </c>
      <c r="K345" s="135">
        <v>0</v>
      </c>
      <c r="L345" s="136">
        <v>0</v>
      </c>
      <c r="M345" s="135">
        <v>0</v>
      </c>
      <c r="N345" s="136">
        <v>0</v>
      </c>
      <c r="O345" s="135">
        <v>3</v>
      </c>
      <c r="P345" s="136">
        <v>1.5775887900000001</v>
      </c>
      <c r="Q345" s="135">
        <v>0</v>
      </c>
      <c r="R345" s="136">
        <v>0</v>
      </c>
    </row>
    <row r="346" spans="1:18">
      <c r="A346" s="99" t="s">
        <v>95</v>
      </c>
      <c r="B346" s="94">
        <f t="shared" si="94"/>
        <v>2</v>
      </c>
      <c r="C346" s="95">
        <f t="shared" si="95"/>
        <v>1.5116921776502465</v>
      </c>
      <c r="D346" s="96">
        <f t="shared" si="96"/>
        <v>9.0790530316423521E-3</v>
      </c>
      <c r="F346" s="97" t="s">
        <v>95</v>
      </c>
      <c r="G346" s="135">
        <v>0</v>
      </c>
      <c r="H346" s="136">
        <v>0</v>
      </c>
      <c r="I346" s="135">
        <v>2</v>
      </c>
      <c r="J346" s="136">
        <v>1</v>
      </c>
      <c r="K346" s="135">
        <v>0</v>
      </c>
      <c r="L346" s="136">
        <v>0</v>
      </c>
      <c r="M346" s="135">
        <v>0</v>
      </c>
      <c r="N346" s="136">
        <v>0</v>
      </c>
      <c r="O346" s="135">
        <v>0</v>
      </c>
      <c r="P346" s="136">
        <v>0.51169217765024644</v>
      </c>
      <c r="Q346" s="135">
        <v>0</v>
      </c>
      <c r="R346" s="136">
        <v>0</v>
      </c>
    </row>
    <row r="347" spans="1:18">
      <c r="A347" s="99" t="s">
        <v>96</v>
      </c>
      <c r="B347" s="94">
        <f t="shared" si="94"/>
        <v>0</v>
      </c>
      <c r="C347" s="95">
        <f t="shared" si="95"/>
        <v>0.52342999999999995</v>
      </c>
      <c r="D347" s="96">
        <f t="shared" si="96"/>
        <v>3.1436616518975349E-3</v>
      </c>
      <c r="F347" s="97" t="s">
        <v>96</v>
      </c>
      <c r="G347" s="135">
        <v>0</v>
      </c>
      <c r="H347" s="136">
        <v>0</v>
      </c>
      <c r="I347" s="135">
        <v>0</v>
      </c>
      <c r="J347" s="136">
        <v>0</v>
      </c>
      <c r="K347" s="135">
        <v>0</v>
      </c>
      <c r="L347" s="136">
        <v>0</v>
      </c>
      <c r="M347" s="135">
        <v>0</v>
      </c>
      <c r="N347" s="136">
        <v>0</v>
      </c>
      <c r="O347" s="135">
        <v>0</v>
      </c>
      <c r="P347" s="136">
        <v>0.52342999999999995</v>
      </c>
      <c r="Q347" s="135">
        <v>0</v>
      </c>
      <c r="R347" s="136">
        <v>0</v>
      </c>
    </row>
    <row r="348" spans="1:18">
      <c r="A348" s="99" t="s">
        <v>97</v>
      </c>
      <c r="B348" s="94">
        <f t="shared" si="94"/>
        <v>1</v>
      </c>
      <c r="C348" s="95">
        <f t="shared" si="95"/>
        <v>15.211368905565978</v>
      </c>
      <c r="D348" s="96">
        <f t="shared" si="96"/>
        <v>9.1357769140657491E-2</v>
      </c>
      <c r="F348" s="97" t="s">
        <v>97</v>
      </c>
      <c r="G348" s="135">
        <v>0</v>
      </c>
      <c r="H348" s="136">
        <v>0</v>
      </c>
      <c r="I348" s="135">
        <v>1</v>
      </c>
      <c r="J348" s="136">
        <v>15</v>
      </c>
      <c r="K348" s="135">
        <v>0</v>
      </c>
      <c r="L348" s="136">
        <v>0</v>
      </c>
      <c r="M348" s="135">
        <v>0</v>
      </c>
      <c r="N348" s="136">
        <v>0</v>
      </c>
      <c r="O348" s="135">
        <v>0</v>
      </c>
      <c r="P348" s="136">
        <v>0.21136890556597876</v>
      </c>
      <c r="Q348" s="135">
        <v>0</v>
      </c>
      <c r="R348" s="136">
        <v>0</v>
      </c>
    </row>
    <row r="349" spans="1:18">
      <c r="A349" s="99" t="s">
        <v>98</v>
      </c>
      <c r="B349" s="94">
        <f t="shared" si="94"/>
        <v>0</v>
      </c>
      <c r="C349" s="95">
        <f t="shared" si="95"/>
        <v>0.46999300000000005</v>
      </c>
      <c r="D349" s="96">
        <f t="shared" si="96"/>
        <v>2.8227250458710399E-3</v>
      </c>
      <c r="F349" s="97" t="s">
        <v>98</v>
      </c>
      <c r="G349" s="135">
        <v>0</v>
      </c>
      <c r="H349" s="136">
        <v>0</v>
      </c>
      <c r="I349" s="135">
        <v>0</v>
      </c>
      <c r="J349" s="136">
        <v>0</v>
      </c>
      <c r="K349" s="135">
        <v>0</v>
      </c>
      <c r="L349" s="136">
        <v>0</v>
      </c>
      <c r="M349" s="135">
        <v>0</v>
      </c>
      <c r="N349" s="136">
        <v>0</v>
      </c>
      <c r="O349" s="135">
        <v>0</v>
      </c>
      <c r="P349" s="136">
        <v>0.46999300000000005</v>
      </c>
      <c r="Q349" s="135">
        <v>0</v>
      </c>
      <c r="R349" s="136">
        <v>0</v>
      </c>
    </row>
    <row r="350" spans="1:18">
      <c r="A350" s="99" t="s">
        <v>99</v>
      </c>
      <c r="B350" s="94">
        <f t="shared" si="94"/>
        <v>8</v>
      </c>
      <c r="C350" s="95">
        <f t="shared" si="95"/>
        <v>16.257970158003999</v>
      </c>
      <c r="D350" s="96">
        <f t="shared" si="96"/>
        <v>9.7643538435725291E-2</v>
      </c>
      <c r="F350" s="97" t="s">
        <v>99</v>
      </c>
      <c r="G350" s="135">
        <v>0</v>
      </c>
      <c r="H350" s="136">
        <v>0</v>
      </c>
      <c r="I350" s="135">
        <v>4</v>
      </c>
      <c r="J350" s="136">
        <v>12.885999999999999</v>
      </c>
      <c r="K350" s="135">
        <v>0</v>
      </c>
      <c r="L350" s="136">
        <v>0</v>
      </c>
      <c r="M350" s="135">
        <v>0</v>
      </c>
      <c r="N350" s="136">
        <v>0</v>
      </c>
      <c r="O350" s="135">
        <v>4</v>
      </c>
      <c r="P350" s="136">
        <v>3.371970158004002</v>
      </c>
      <c r="Q350" s="135">
        <v>0</v>
      </c>
      <c r="R350" s="136">
        <v>0</v>
      </c>
    </row>
    <row r="351" spans="1:18">
      <c r="A351" s="99" t="s">
        <v>100</v>
      </c>
      <c r="B351" s="94">
        <f t="shared" si="94"/>
        <v>7</v>
      </c>
      <c r="C351" s="95">
        <f t="shared" si="95"/>
        <v>85.686362200000005</v>
      </c>
      <c r="D351" s="96">
        <f t="shared" si="96"/>
        <v>0.51462264474474628</v>
      </c>
      <c r="F351" s="97" t="s">
        <v>100</v>
      </c>
      <c r="G351" s="135">
        <v>0</v>
      </c>
      <c r="H351" s="136">
        <v>0</v>
      </c>
      <c r="I351" s="135">
        <v>5</v>
      </c>
      <c r="J351" s="136">
        <v>80.287000000000006</v>
      </c>
      <c r="K351" s="135">
        <v>0</v>
      </c>
      <c r="L351" s="136">
        <v>0</v>
      </c>
      <c r="M351" s="135">
        <v>0</v>
      </c>
      <c r="N351" s="136">
        <v>0</v>
      </c>
      <c r="O351" s="135">
        <v>2</v>
      </c>
      <c r="P351" s="136">
        <v>5.3993621999999997</v>
      </c>
      <c r="Q351" s="135">
        <v>0</v>
      </c>
      <c r="R351" s="136">
        <v>0</v>
      </c>
    </row>
    <row r="352" spans="1:18">
      <c r="A352" s="99" t="s">
        <v>101</v>
      </c>
      <c r="B352" s="94">
        <f t="shared" si="94"/>
        <v>2</v>
      </c>
      <c r="C352" s="95">
        <f t="shared" si="95"/>
        <v>5.573205128205128</v>
      </c>
      <c r="D352" s="96">
        <f t="shared" si="96"/>
        <v>3.3472042564807424E-2</v>
      </c>
      <c r="F352" s="97" t="s">
        <v>101</v>
      </c>
      <c r="G352" s="135">
        <v>0</v>
      </c>
      <c r="H352" s="136">
        <v>0</v>
      </c>
      <c r="I352" s="135">
        <v>1</v>
      </c>
      <c r="J352" s="136">
        <v>5</v>
      </c>
      <c r="K352" s="135">
        <v>0</v>
      </c>
      <c r="L352" s="136">
        <v>0</v>
      </c>
      <c r="M352" s="135">
        <v>0</v>
      </c>
      <c r="N352" s="136">
        <v>0</v>
      </c>
      <c r="O352" s="135">
        <v>1</v>
      </c>
      <c r="P352" s="136">
        <v>0.57320512820512837</v>
      </c>
      <c r="Q352" s="135">
        <v>0</v>
      </c>
      <c r="R352" s="136">
        <v>0</v>
      </c>
    </row>
    <row r="353" spans="1:18">
      <c r="A353" s="84" t="s">
        <v>37</v>
      </c>
      <c r="B353" s="85">
        <f>B354+B366</f>
        <v>970</v>
      </c>
      <c r="C353" s="86">
        <f>C354+C366</f>
        <v>8246.2506087997863</v>
      </c>
      <c r="D353" s="87">
        <f>D354+D366</f>
        <v>1.0000000000000002</v>
      </c>
      <c r="F353" s="84" t="s">
        <v>37</v>
      </c>
      <c r="G353" s="85">
        <f>SUM(G354:G365)</f>
        <v>164</v>
      </c>
      <c r="H353" s="86">
        <f t="shared" ref="H353:R353" si="97">SUM(H354:H365)</f>
        <v>6725.4503646799994</v>
      </c>
      <c r="I353" s="85">
        <f t="shared" si="97"/>
        <v>74</v>
      </c>
      <c r="J353" s="86">
        <f t="shared" si="97"/>
        <v>1195.819966</v>
      </c>
      <c r="K353" s="85">
        <f t="shared" si="97"/>
        <v>0</v>
      </c>
      <c r="L353" s="86">
        <f t="shared" si="97"/>
        <v>0</v>
      </c>
      <c r="M353" s="85">
        <f t="shared" si="97"/>
        <v>0</v>
      </c>
      <c r="N353" s="86">
        <f t="shared" si="97"/>
        <v>0</v>
      </c>
      <c r="O353" s="85">
        <f t="shared" si="97"/>
        <v>362</v>
      </c>
      <c r="P353" s="86">
        <f t="shared" si="97"/>
        <v>251.12629118978617</v>
      </c>
      <c r="Q353" s="85">
        <f t="shared" si="97"/>
        <v>370</v>
      </c>
      <c r="R353" s="86">
        <f t="shared" si="97"/>
        <v>73.853986930000019</v>
      </c>
    </row>
    <row r="354" spans="1:18">
      <c r="A354" s="88" t="s">
        <v>90</v>
      </c>
      <c r="B354" s="89">
        <f>SUM(B355:B365)</f>
        <v>600</v>
      </c>
      <c r="C354" s="90">
        <f>SUM(C355:C365)</f>
        <v>8172.396621869786</v>
      </c>
      <c r="D354" s="91">
        <f>SUM(D355:D365)</f>
        <v>0.99104393130482993</v>
      </c>
      <c r="F354" s="92"/>
      <c r="G354" s="89"/>
      <c r="H354" s="90"/>
      <c r="I354" s="89"/>
      <c r="J354" s="90"/>
      <c r="K354" s="89"/>
      <c r="L354" s="90"/>
      <c r="M354" s="89"/>
      <c r="N354" s="90"/>
      <c r="O354" s="89"/>
      <c r="P354" s="90"/>
      <c r="Q354" s="89"/>
      <c r="R354" s="90"/>
    </row>
    <row r="355" spans="1:18">
      <c r="A355" s="93" t="s">
        <v>91</v>
      </c>
      <c r="B355" s="94">
        <f t="shared" ref="B355:B365" si="98">G355+I355+K355+M355+O355</f>
        <v>189</v>
      </c>
      <c r="C355" s="95">
        <f t="shared" ref="C355:C365" si="99">H355+J355+L355+N355+P355</f>
        <v>1439.43038576</v>
      </c>
      <c r="D355" s="96">
        <f>C355/$C$353</f>
        <v>0.17455574103265148</v>
      </c>
      <c r="F355" s="97" t="s">
        <v>91</v>
      </c>
      <c r="G355" s="135">
        <v>54</v>
      </c>
      <c r="H355" s="136">
        <v>1163.4080857600002</v>
      </c>
      <c r="I355" s="135">
        <v>14</v>
      </c>
      <c r="J355" s="136">
        <v>209.167</v>
      </c>
      <c r="K355" s="135">
        <v>0</v>
      </c>
      <c r="L355" s="136">
        <v>0</v>
      </c>
      <c r="M355" s="135">
        <v>0</v>
      </c>
      <c r="N355" s="136">
        <v>0</v>
      </c>
      <c r="O355" s="135">
        <v>121</v>
      </c>
      <c r="P355" s="136">
        <v>66.8553</v>
      </c>
      <c r="Q355" s="135">
        <v>0</v>
      </c>
      <c r="R355" s="136">
        <v>0</v>
      </c>
    </row>
    <row r="356" spans="1:18">
      <c r="A356" s="93" t="s">
        <v>92</v>
      </c>
      <c r="B356" s="94">
        <f t="shared" si="98"/>
        <v>57</v>
      </c>
      <c r="C356" s="95">
        <f t="shared" si="99"/>
        <v>1116.6250135099999</v>
      </c>
      <c r="D356" s="96">
        <f>C356/$C$353</f>
        <v>0.13541002650567285</v>
      </c>
      <c r="F356" s="97" t="s">
        <v>92</v>
      </c>
      <c r="G356" s="135">
        <v>15</v>
      </c>
      <c r="H356" s="136">
        <v>853.66204850999998</v>
      </c>
      <c r="I356" s="135">
        <v>11</v>
      </c>
      <c r="J356" s="136">
        <v>232.465</v>
      </c>
      <c r="K356" s="135">
        <v>0</v>
      </c>
      <c r="L356" s="136">
        <v>0</v>
      </c>
      <c r="M356" s="135">
        <v>0</v>
      </c>
      <c r="N356" s="136">
        <v>0</v>
      </c>
      <c r="O356" s="135">
        <v>31</v>
      </c>
      <c r="P356" s="136">
        <v>30.497965000000008</v>
      </c>
      <c r="Q356" s="135">
        <v>0</v>
      </c>
      <c r="R356" s="136">
        <v>0</v>
      </c>
    </row>
    <row r="357" spans="1:18">
      <c r="A357" s="93" t="s">
        <v>93</v>
      </c>
      <c r="B357" s="94">
        <f t="shared" si="98"/>
        <v>75</v>
      </c>
      <c r="C357" s="95">
        <f t="shared" si="99"/>
        <v>1702.7157152922334</v>
      </c>
      <c r="D357" s="96">
        <f>C357/$C$353</f>
        <v>0.20648362462756367</v>
      </c>
      <c r="F357" s="97" t="s">
        <v>93</v>
      </c>
      <c r="G357" s="135">
        <v>24</v>
      </c>
      <c r="H357" s="136">
        <v>1471.2731285999998</v>
      </c>
      <c r="I357" s="135">
        <v>10</v>
      </c>
      <c r="J357" s="136">
        <v>198.2</v>
      </c>
      <c r="K357" s="135">
        <v>0</v>
      </c>
      <c r="L357" s="136">
        <v>0</v>
      </c>
      <c r="M357" s="135">
        <v>0</v>
      </c>
      <c r="N357" s="136">
        <v>0</v>
      </c>
      <c r="O357" s="135">
        <v>41</v>
      </c>
      <c r="P357" s="136">
        <v>33.242586692233466</v>
      </c>
      <c r="Q357" s="135">
        <v>0</v>
      </c>
      <c r="R357" s="136">
        <v>0</v>
      </c>
    </row>
    <row r="358" spans="1:18">
      <c r="A358" s="93" t="s">
        <v>94</v>
      </c>
      <c r="B358" s="94">
        <f t="shared" si="98"/>
        <v>37</v>
      </c>
      <c r="C358" s="95">
        <f t="shared" si="99"/>
        <v>305.52273551872412</v>
      </c>
      <c r="D358" s="96">
        <f>C358/$C$353</f>
        <v>3.704989697896071E-2</v>
      </c>
      <c r="F358" s="97" t="s">
        <v>94</v>
      </c>
      <c r="G358" s="135">
        <v>10</v>
      </c>
      <c r="H358" s="136">
        <v>265.81462762000001</v>
      </c>
      <c r="I358" s="135">
        <v>3</v>
      </c>
      <c r="J358" s="136">
        <v>25.799999999999997</v>
      </c>
      <c r="K358" s="135">
        <v>0</v>
      </c>
      <c r="L358" s="136">
        <v>0</v>
      </c>
      <c r="M358" s="135">
        <v>0</v>
      </c>
      <c r="N358" s="136">
        <v>0</v>
      </c>
      <c r="O358" s="135">
        <v>24</v>
      </c>
      <c r="P358" s="136">
        <v>13.908107898724081</v>
      </c>
      <c r="Q358" s="135">
        <v>247</v>
      </c>
      <c r="R358" s="136">
        <v>51.724653780000011</v>
      </c>
    </row>
    <row r="359" spans="1:18">
      <c r="A359" s="93" t="s">
        <v>95</v>
      </c>
      <c r="B359" s="94">
        <f t="shared" si="98"/>
        <v>14</v>
      </c>
      <c r="C359" s="95">
        <f t="shared" si="99"/>
        <v>434.53170521480735</v>
      </c>
      <c r="D359" s="96">
        <f t="shared" ref="D359:D365" si="100">C359/$C$353</f>
        <v>5.269445786077704E-2</v>
      </c>
      <c r="F359" s="97" t="s">
        <v>95</v>
      </c>
      <c r="G359" s="135">
        <v>2</v>
      </c>
      <c r="H359" s="136">
        <v>415</v>
      </c>
      <c r="I359" s="135">
        <v>8</v>
      </c>
      <c r="J359" s="136">
        <v>15.545894000000001</v>
      </c>
      <c r="K359" s="135">
        <v>0</v>
      </c>
      <c r="L359" s="136">
        <v>0</v>
      </c>
      <c r="M359" s="135">
        <v>0</v>
      </c>
      <c r="N359" s="136">
        <v>0</v>
      </c>
      <c r="O359" s="135">
        <v>4</v>
      </c>
      <c r="P359" s="136">
        <v>3.9858112148073874</v>
      </c>
      <c r="Q359" s="135">
        <v>0</v>
      </c>
      <c r="R359" s="136">
        <v>0</v>
      </c>
    </row>
    <row r="360" spans="1:18">
      <c r="A360" s="93" t="s">
        <v>96</v>
      </c>
      <c r="B360" s="94">
        <f t="shared" si="98"/>
        <v>30</v>
      </c>
      <c r="C360" s="95">
        <f t="shared" si="99"/>
        <v>187.80668127000001</v>
      </c>
      <c r="D360" s="96">
        <f t="shared" si="100"/>
        <v>2.2774796714228728E-2</v>
      </c>
      <c r="F360" s="97" t="s">
        <v>96</v>
      </c>
      <c r="G360" s="135">
        <v>9</v>
      </c>
      <c r="H360" s="136">
        <v>162.10621568000002</v>
      </c>
      <c r="I360" s="135">
        <v>1</v>
      </c>
      <c r="J360" s="136">
        <v>15</v>
      </c>
      <c r="K360" s="135">
        <v>0</v>
      </c>
      <c r="L360" s="136">
        <v>0</v>
      </c>
      <c r="M360" s="135">
        <v>0</v>
      </c>
      <c r="N360" s="136">
        <v>0</v>
      </c>
      <c r="O360" s="135">
        <v>20</v>
      </c>
      <c r="P360" s="136">
        <v>10.700465590000002</v>
      </c>
      <c r="Q360" s="135">
        <v>123</v>
      </c>
      <c r="R360" s="136">
        <v>22.129333150000004</v>
      </c>
    </row>
    <row r="361" spans="1:18">
      <c r="A361" s="93" t="s">
        <v>97</v>
      </c>
      <c r="B361" s="94">
        <f t="shared" si="98"/>
        <v>2</v>
      </c>
      <c r="C361" s="95">
        <f t="shared" si="99"/>
        <v>34.733468905565978</v>
      </c>
      <c r="D361" s="96">
        <f t="shared" si="100"/>
        <v>4.2120316921366663E-3</v>
      </c>
      <c r="F361" s="97" t="s">
        <v>97</v>
      </c>
      <c r="G361" s="135">
        <v>0</v>
      </c>
      <c r="H361" s="136">
        <v>0</v>
      </c>
      <c r="I361" s="135">
        <v>2</v>
      </c>
      <c r="J361" s="136">
        <v>34</v>
      </c>
      <c r="K361" s="135">
        <v>0</v>
      </c>
      <c r="L361" s="136">
        <v>0</v>
      </c>
      <c r="M361" s="135">
        <v>0</v>
      </c>
      <c r="N361" s="136">
        <v>0</v>
      </c>
      <c r="O361" s="135">
        <v>0</v>
      </c>
      <c r="P361" s="136">
        <v>0.73346890556597877</v>
      </c>
      <c r="Q361" s="135">
        <v>0</v>
      </c>
      <c r="R361" s="136">
        <v>0</v>
      </c>
    </row>
    <row r="362" spans="1:18">
      <c r="A362" s="93" t="s">
        <v>98</v>
      </c>
      <c r="B362" s="94">
        <f t="shared" si="98"/>
        <v>6</v>
      </c>
      <c r="C362" s="95">
        <f t="shared" si="99"/>
        <v>12.853463999999999</v>
      </c>
      <c r="D362" s="96">
        <f t="shared" si="100"/>
        <v>1.5587040231694797E-3</v>
      </c>
      <c r="F362" s="97" t="s">
        <v>98</v>
      </c>
      <c r="G362" s="135">
        <v>0</v>
      </c>
      <c r="H362" s="136">
        <v>0</v>
      </c>
      <c r="I362" s="135">
        <v>1</v>
      </c>
      <c r="J362" s="136">
        <v>2.7</v>
      </c>
      <c r="K362" s="135">
        <v>0</v>
      </c>
      <c r="L362" s="136">
        <v>0</v>
      </c>
      <c r="M362" s="135">
        <v>0</v>
      </c>
      <c r="N362" s="136">
        <v>0</v>
      </c>
      <c r="O362" s="135">
        <v>5</v>
      </c>
      <c r="P362" s="136">
        <v>10.153464</v>
      </c>
      <c r="Q362" s="135">
        <v>0</v>
      </c>
      <c r="R362" s="136">
        <v>0</v>
      </c>
    </row>
    <row r="363" spans="1:18">
      <c r="A363" s="93" t="s">
        <v>99</v>
      </c>
      <c r="B363" s="94">
        <f t="shared" si="98"/>
        <v>61</v>
      </c>
      <c r="C363" s="95">
        <f t="shared" si="99"/>
        <v>261.79905436025012</v>
      </c>
      <c r="D363" s="96">
        <f t="shared" si="100"/>
        <v>3.1747647116239425E-2</v>
      </c>
      <c r="F363" s="97" t="s">
        <v>99</v>
      </c>
      <c r="G363" s="135">
        <v>2</v>
      </c>
      <c r="H363" s="136">
        <v>64.262420860000006</v>
      </c>
      <c r="I363" s="135">
        <v>7</v>
      </c>
      <c r="J363" s="136">
        <v>157.6</v>
      </c>
      <c r="K363" s="135">
        <v>0</v>
      </c>
      <c r="L363" s="136">
        <v>0</v>
      </c>
      <c r="M363" s="135">
        <v>0</v>
      </c>
      <c r="N363" s="136">
        <v>0</v>
      </c>
      <c r="O363" s="135">
        <v>52</v>
      </c>
      <c r="P363" s="136">
        <v>39.936633500250146</v>
      </c>
      <c r="Q363" s="135">
        <v>0</v>
      </c>
      <c r="R363" s="136">
        <v>0</v>
      </c>
    </row>
    <row r="364" spans="1:18">
      <c r="A364" s="93" t="s">
        <v>100</v>
      </c>
      <c r="B364" s="94">
        <f t="shared" si="98"/>
        <v>72</v>
      </c>
      <c r="C364" s="95">
        <f t="shared" si="99"/>
        <v>1558.4847474700002</v>
      </c>
      <c r="D364" s="96">
        <f t="shared" si="100"/>
        <v>0.18899313414109692</v>
      </c>
      <c r="F364" s="97" t="s">
        <v>100</v>
      </c>
      <c r="G364" s="135">
        <v>27</v>
      </c>
      <c r="H364" s="136">
        <v>1297.4662142100001</v>
      </c>
      <c r="I364" s="135">
        <v>13</v>
      </c>
      <c r="J364" s="136">
        <v>243.942072</v>
      </c>
      <c r="K364" s="135">
        <v>0</v>
      </c>
      <c r="L364" s="136">
        <v>0</v>
      </c>
      <c r="M364" s="135">
        <v>0</v>
      </c>
      <c r="N364" s="136">
        <v>0</v>
      </c>
      <c r="O364" s="135">
        <v>32</v>
      </c>
      <c r="P364" s="136">
        <v>17.076461259999999</v>
      </c>
      <c r="Q364" s="135">
        <v>0</v>
      </c>
      <c r="R364" s="136">
        <v>0</v>
      </c>
    </row>
    <row r="365" spans="1:18">
      <c r="A365" s="93" t="s">
        <v>101</v>
      </c>
      <c r="B365" s="94">
        <f t="shared" si="98"/>
        <v>57</v>
      </c>
      <c r="C365" s="95">
        <f t="shared" si="99"/>
        <v>1117.8936505682052</v>
      </c>
      <c r="D365" s="96">
        <f t="shared" si="100"/>
        <v>0.13556387061233285</v>
      </c>
      <c r="F365" s="97" t="s">
        <v>101</v>
      </c>
      <c r="G365" s="135">
        <v>21</v>
      </c>
      <c r="H365" s="136">
        <v>1032.4576234399999</v>
      </c>
      <c r="I365" s="135">
        <v>4</v>
      </c>
      <c r="J365" s="136">
        <v>61.4</v>
      </c>
      <c r="K365" s="135">
        <v>0</v>
      </c>
      <c r="L365" s="136">
        <v>0</v>
      </c>
      <c r="M365" s="135">
        <v>0</v>
      </c>
      <c r="N365" s="136">
        <v>0</v>
      </c>
      <c r="O365" s="135">
        <v>32</v>
      </c>
      <c r="P365" s="136">
        <v>24.036027128205131</v>
      </c>
      <c r="Q365" s="135">
        <v>0</v>
      </c>
      <c r="R365" s="136">
        <v>0</v>
      </c>
    </row>
    <row r="366" spans="1:18" ht="17.25">
      <c r="A366" s="104" t="s">
        <v>103</v>
      </c>
      <c r="B366" s="89">
        <f>SUM(B367:B368)</f>
        <v>370</v>
      </c>
      <c r="C366" s="90">
        <f>SUM(C367:C368)</f>
        <v>73.853986930000019</v>
      </c>
      <c r="D366" s="91">
        <f>SUM(D367:D368)</f>
        <v>8.9560686951702054E-3</v>
      </c>
      <c r="E366" s="123"/>
      <c r="F366" s="97"/>
      <c r="G366" s="135"/>
      <c r="H366" s="136"/>
      <c r="I366" s="135"/>
      <c r="J366" s="136"/>
      <c r="K366" s="135"/>
      <c r="L366" s="136"/>
      <c r="M366" s="135"/>
      <c r="N366" s="136"/>
      <c r="O366" s="135"/>
      <c r="P366" s="136"/>
      <c r="Q366" s="135"/>
      <c r="R366" s="136"/>
    </row>
    <row r="367" spans="1:18">
      <c r="A367" s="93" t="s">
        <v>94</v>
      </c>
      <c r="B367" s="94">
        <f>Q358</f>
        <v>247</v>
      </c>
      <c r="C367" s="95">
        <f>R358</f>
        <v>51.724653780000011</v>
      </c>
      <c r="D367" s="96">
        <f>C367/$C$353</f>
        <v>6.2725056797089456E-3</v>
      </c>
      <c r="F367" s="97"/>
      <c r="G367" s="135"/>
      <c r="H367" s="136"/>
      <c r="I367" s="135"/>
      <c r="J367" s="136"/>
      <c r="K367" s="135"/>
      <c r="L367" s="136"/>
      <c r="M367" s="135"/>
      <c r="N367" s="136"/>
      <c r="O367" s="135"/>
      <c r="P367" s="136"/>
      <c r="Q367" s="135"/>
      <c r="R367" s="136"/>
    </row>
    <row r="368" spans="1:18">
      <c r="A368" s="93" t="s">
        <v>96</v>
      </c>
      <c r="B368" s="94">
        <f>Q360</f>
        <v>123</v>
      </c>
      <c r="C368" s="95">
        <f>R360</f>
        <v>22.129333150000004</v>
      </c>
      <c r="D368" s="96">
        <f>C368/$C$353</f>
        <v>2.6835630154612598E-3</v>
      </c>
      <c r="F368" s="97"/>
      <c r="G368" s="135"/>
      <c r="H368" s="136"/>
      <c r="I368" s="135"/>
      <c r="J368" s="136"/>
      <c r="K368" s="135"/>
      <c r="L368" s="136"/>
      <c r="M368" s="135"/>
      <c r="N368" s="136"/>
      <c r="O368" s="135"/>
      <c r="P368" s="136"/>
      <c r="Q368" s="135"/>
      <c r="R368" s="136"/>
    </row>
    <row r="369" spans="1:18">
      <c r="A369" s="84" t="s">
        <v>38</v>
      </c>
      <c r="B369" s="101">
        <f>SUM(B370:B380)</f>
        <v>2</v>
      </c>
      <c r="C369" s="102">
        <f>SUM(C370:C380)</f>
        <v>6.7871936218582318</v>
      </c>
      <c r="D369" s="103">
        <f>SUM(D370:D380)</f>
        <v>1</v>
      </c>
      <c r="F369" s="84" t="s">
        <v>38</v>
      </c>
      <c r="G369" s="85">
        <f>SUM(G370:G380)</f>
        <v>0</v>
      </c>
      <c r="H369" s="86">
        <f t="shared" ref="H369:R369" si="101">SUM(H370:H380)</f>
        <v>0</v>
      </c>
      <c r="I369" s="85">
        <f t="shared" si="101"/>
        <v>1</v>
      </c>
      <c r="J369" s="86">
        <f t="shared" si="101"/>
        <v>0.5</v>
      </c>
      <c r="K369" s="85">
        <f t="shared" si="101"/>
        <v>0</v>
      </c>
      <c r="L369" s="86">
        <f t="shared" si="101"/>
        <v>0</v>
      </c>
      <c r="M369" s="85">
        <f t="shared" si="101"/>
        <v>0</v>
      </c>
      <c r="N369" s="86">
        <f t="shared" si="101"/>
        <v>0</v>
      </c>
      <c r="O369" s="85">
        <f t="shared" si="101"/>
        <v>1</v>
      </c>
      <c r="P369" s="86">
        <f t="shared" si="101"/>
        <v>6.2871936218582318</v>
      </c>
      <c r="Q369" s="85">
        <f t="shared" si="101"/>
        <v>0</v>
      </c>
      <c r="R369" s="86">
        <f t="shared" si="101"/>
        <v>0</v>
      </c>
    </row>
    <row r="370" spans="1:18">
      <c r="A370" s="108" t="s">
        <v>91</v>
      </c>
      <c r="B370" s="94">
        <f t="shared" ref="B370:B380" si="102">G370+I370+K370+M370+O370</f>
        <v>0</v>
      </c>
      <c r="C370" s="95">
        <f t="shared" ref="C370:C380" si="103">H370+J370+L370+N370+P370</f>
        <v>0.15</v>
      </c>
      <c r="D370" s="109">
        <f>C370/$C$369</f>
        <v>2.2100445096618924E-2</v>
      </c>
      <c r="F370" s="97" t="s">
        <v>91</v>
      </c>
      <c r="G370" s="135">
        <v>0</v>
      </c>
      <c r="H370" s="136">
        <v>0</v>
      </c>
      <c r="I370" s="135">
        <v>0</v>
      </c>
      <c r="J370" s="136">
        <v>0</v>
      </c>
      <c r="K370" s="135">
        <v>0</v>
      </c>
      <c r="L370" s="136">
        <v>0</v>
      </c>
      <c r="M370" s="135">
        <v>0</v>
      </c>
      <c r="N370" s="136">
        <v>0</v>
      </c>
      <c r="O370" s="135">
        <v>0</v>
      </c>
      <c r="P370" s="136">
        <v>0.15</v>
      </c>
      <c r="Q370" s="135">
        <v>0</v>
      </c>
      <c r="R370" s="136">
        <v>0</v>
      </c>
    </row>
    <row r="371" spans="1:18">
      <c r="A371" s="108" t="s">
        <v>92</v>
      </c>
      <c r="B371" s="94">
        <f t="shared" si="102"/>
        <v>0</v>
      </c>
      <c r="C371" s="95">
        <f t="shared" si="103"/>
        <v>1.347105952857143</v>
      </c>
      <c r="D371" s="109">
        <f t="shared" ref="D371:D380" si="104">C371/$C$369</f>
        <v>0.19847760766965206</v>
      </c>
      <c r="F371" s="97" t="s">
        <v>92</v>
      </c>
      <c r="G371" s="135">
        <v>0</v>
      </c>
      <c r="H371" s="136">
        <v>0</v>
      </c>
      <c r="I371" s="135">
        <v>0</v>
      </c>
      <c r="J371" s="136">
        <v>0</v>
      </c>
      <c r="K371" s="135">
        <v>0</v>
      </c>
      <c r="L371" s="136">
        <v>0</v>
      </c>
      <c r="M371" s="135">
        <v>0</v>
      </c>
      <c r="N371" s="136">
        <v>0</v>
      </c>
      <c r="O371" s="135">
        <v>0</v>
      </c>
      <c r="P371" s="136">
        <v>1.347105952857143</v>
      </c>
      <c r="Q371" s="135">
        <v>0</v>
      </c>
      <c r="R371" s="136">
        <v>0</v>
      </c>
    </row>
    <row r="372" spans="1:18">
      <c r="A372" s="108" t="s">
        <v>93</v>
      </c>
      <c r="B372" s="94">
        <f t="shared" si="102"/>
        <v>0</v>
      </c>
      <c r="C372" s="95">
        <f t="shared" si="103"/>
        <v>0.11411669223346829</v>
      </c>
      <c r="D372" s="109">
        <f t="shared" si="104"/>
        <v>1.6813531275423503E-2</v>
      </c>
      <c r="F372" s="97" t="s">
        <v>93</v>
      </c>
      <c r="G372" s="135">
        <v>0</v>
      </c>
      <c r="H372" s="136">
        <v>0</v>
      </c>
      <c r="I372" s="135">
        <v>0</v>
      </c>
      <c r="J372" s="136">
        <v>0</v>
      </c>
      <c r="K372" s="135">
        <v>0</v>
      </c>
      <c r="L372" s="136">
        <v>0</v>
      </c>
      <c r="M372" s="135">
        <v>0</v>
      </c>
      <c r="N372" s="136">
        <v>0</v>
      </c>
      <c r="O372" s="135">
        <v>0</v>
      </c>
      <c r="P372" s="136">
        <v>0.11411669223346829</v>
      </c>
      <c r="Q372" s="135">
        <v>0</v>
      </c>
      <c r="R372" s="136">
        <v>0</v>
      </c>
    </row>
    <row r="373" spans="1:18">
      <c r="A373" s="108" t="s">
        <v>94</v>
      </c>
      <c r="B373" s="94">
        <f t="shared" si="102"/>
        <v>0</v>
      </c>
      <c r="C373" s="95">
        <f t="shared" si="103"/>
        <v>0.28571428999999998</v>
      </c>
      <c r="D373" s="109">
        <f t="shared" si="104"/>
        <v>4.2096086529763044E-2</v>
      </c>
      <c r="F373" s="97" t="s">
        <v>94</v>
      </c>
      <c r="G373" s="135">
        <v>0</v>
      </c>
      <c r="H373" s="136">
        <v>0</v>
      </c>
      <c r="I373" s="135">
        <v>0</v>
      </c>
      <c r="J373" s="136">
        <v>0</v>
      </c>
      <c r="K373" s="135">
        <v>0</v>
      </c>
      <c r="L373" s="136">
        <v>0</v>
      </c>
      <c r="M373" s="135">
        <v>0</v>
      </c>
      <c r="N373" s="136">
        <v>0</v>
      </c>
      <c r="O373" s="135">
        <v>0</v>
      </c>
      <c r="P373" s="136">
        <v>0.28571428999999998</v>
      </c>
      <c r="Q373" s="135">
        <v>0</v>
      </c>
      <c r="R373" s="136">
        <v>0</v>
      </c>
    </row>
    <row r="374" spans="1:18">
      <c r="A374" s="108" t="s">
        <v>95</v>
      </c>
      <c r="B374" s="94">
        <f t="shared" si="102"/>
        <v>1</v>
      </c>
      <c r="C374" s="95">
        <f t="shared" si="103"/>
        <v>1.2525380777438877</v>
      </c>
      <c r="D374" s="109">
        <f t="shared" si="104"/>
        <v>0.1845443267906893</v>
      </c>
      <c r="F374" s="97" t="s">
        <v>95</v>
      </c>
      <c r="G374" s="135">
        <v>0</v>
      </c>
      <c r="H374" s="136">
        <v>0</v>
      </c>
      <c r="I374" s="135">
        <v>1</v>
      </c>
      <c r="J374" s="136">
        <v>0.5</v>
      </c>
      <c r="K374" s="135">
        <v>0</v>
      </c>
      <c r="L374" s="136">
        <v>0</v>
      </c>
      <c r="M374" s="135">
        <v>0</v>
      </c>
      <c r="N374" s="136">
        <v>0</v>
      </c>
      <c r="O374" s="135">
        <v>0</v>
      </c>
      <c r="P374" s="136">
        <v>0.75253807774388759</v>
      </c>
      <c r="Q374" s="135">
        <v>0</v>
      </c>
      <c r="R374" s="136">
        <v>0</v>
      </c>
    </row>
    <row r="375" spans="1:18">
      <c r="A375" s="108" t="s">
        <v>96</v>
      </c>
      <c r="B375" s="94">
        <f t="shared" si="102"/>
        <v>0</v>
      </c>
      <c r="C375" s="95">
        <f t="shared" si="103"/>
        <v>0.15517500000000001</v>
      </c>
      <c r="D375" s="109">
        <f t="shared" si="104"/>
        <v>2.2862910452452277E-2</v>
      </c>
      <c r="F375" s="97" t="s">
        <v>96</v>
      </c>
      <c r="G375" s="135">
        <v>0</v>
      </c>
      <c r="H375" s="136">
        <v>0</v>
      </c>
      <c r="I375" s="135">
        <v>0</v>
      </c>
      <c r="J375" s="136">
        <v>0</v>
      </c>
      <c r="K375" s="135">
        <v>0</v>
      </c>
      <c r="L375" s="136">
        <v>0</v>
      </c>
      <c r="M375" s="135">
        <v>0</v>
      </c>
      <c r="N375" s="136">
        <v>0</v>
      </c>
      <c r="O375" s="135">
        <v>0</v>
      </c>
      <c r="P375" s="136">
        <v>0.15517500000000001</v>
      </c>
      <c r="Q375" s="135">
        <v>0</v>
      </c>
      <c r="R375" s="136">
        <v>0</v>
      </c>
    </row>
    <row r="376" spans="1:18">
      <c r="A376" s="108" t="s">
        <v>97</v>
      </c>
      <c r="B376" s="94">
        <f t="shared" si="102"/>
        <v>0</v>
      </c>
      <c r="C376" s="95">
        <f t="shared" si="103"/>
        <v>0.16136890556597877</v>
      </c>
      <c r="D376" s="109">
        <f t="shared" si="104"/>
        <v>2.3775497585082652E-2</v>
      </c>
      <c r="F376" s="97" t="s">
        <v>97</v>
      </c>
      <c r="G376" s="135">
        <v>0</v>
      </c>
      <c r="H376" s="136">
        <v>0</v>
      </c>
      <c r="I376" s="135">
        <v>0</v>
      </c>
      <c r="J376" s="136">
        <v>0</v>
      </c>
      <c r="K376" s="135">
        <v>0</v>
      </c>
      <c r="L376" s="136">
        <v>0</v>
      </c>
      <c r="M376" s="135">
        <v>0</v>
      </c>
      <c r="N376" s="136">
        <v>0</v>
      </c>
      <c r="O376" s="135">
        <v>0</v>
      </c>
      <c r="P376" s="136">
        <v>0.16136890556597877</v>
      </c>
      <c r="Q376" s="135">
        <v>0</v>
      </c>
      <c r="R376" s="136">
        <v>0</v>
      </c>
    </row>
    <row r="377" spans="1:18">
      <c r="A377" s="108" t="s">
        <v>98</v>
      </c>
      <c r="B377" s="94">
        <f t="shared" si="102"/>
        <v>0</v>
      </c>
      <c r="C377" s="95">
        <f t="shared" si="103"/>
        <v>0.164992</v>
      </c>
      <c r="D377" s="109">
        <f t="shared" si="104"/>
        <v>2.4309310915875664E-2</v>
      </c>
      <c r="F377" s="97" t="s">
        <v>98</v>
      </c>
      <c r="G377" s="135">
        <v>0</v>
      </c>
      <c r="H377" s="136">
        <v>0</v>
      </c>
      <c r="I377" s="135">
        <v>0</v>
      </c>
      <c r="J377" s="136">
        <v>0</v>
      </c>
      <c r="K377" s="135">
        <v>0</v>
      </c>
      <c r="L377" s="136">
        <v>0</v>
      </c>
      <c r="M377" s="135">
        <v>0</v>
      </c>
      <c r="N377" s="136">
        <v>0</v>
      </c>
      <c r="O377" s="135">
        <v>0</v>
      </c>
      <c r="P377" s="136">
        <v>0.164992</v>
      </c>
      <c r="Q377" s="135">
        <v>0</v>
      </c>
      <c r="R377" s="136">
        <v>0</v>
      </c>
    </row>
    <row r="378" spans="1:18">
      <c r="A378" s="108" t="s">
        <v>99</v>
      </c>
      <c r="B378" s="94">
        <f t="shared" si="102"/>
        <v>1</v>
      </c>
      <c r="C378" s="95">
        <f t="shared" si="103"/>
        <v>1.8707692152526267</v>
      </c>
      <c r="D378" s="109">
        <f t="shared" si="104"/>
        <v>0.275632215534237</v>
      </c>
      <c r="F378" s="97" t="s">
        <v>99</v>
      </c>
      <c r="G378" s="135">
        <v>0</v>
      </c>
      <c r="H378" s="136">
        <v>0</v>
      </c>
      <c r="I378" s="135">
        <v>0</v>
      </c>
      <c r="J378" s="136">
        <v>0</v>
      </c>
      <c r="K378" s="135">
        <v>0</v>
      </c>
      <c r="L378" s="136">
        <v>0</v>
      </c>
      <c r="M378" s="135">
        <v>0</v>
      </c>
      <c r="N378" s="136">
        <v>0</v>
      </c>
      <c r="O378" s="135">
        <v>1</v>
      </c>
      <c r="P378" s="136">
        <v>1.8707692152526267</v>
      </c>
      <c r="Q378" s="135">
        <v>0</v>
      </c>
      <c r="R378" s="136">
        <v>0</v>
      </c>
    </row>
    <row r="379" spans="1:18">
      <c r="A379" s="108" t="s">
        <v>100</v>
      </c>
      <c r="B379" s="94">
        <f t="shared" si="102"/>
        <v>0</v>
      </c>
      <c r="C379" s="95">
        <f t="shared" si="103"/>
        <v>1.0072083599999999</v>
      </c>
      <c r="D379" s="109">
        <f>C379/$C$369</f>
        <v>0.14839835374023724</v>
      </c>
      <c r="F379" s="97" t="s">
        <v>100</v>
      </c>
      <c r="G379" s="135">
        <v>0</v>
      </c>
      <c r="H379" s="136">
        <v>0</v>
      </c>
      <c r="I379" s="135">
        <v>0</v>
      </c>
      <c r="J379" s="136">
        <v>0</v>
      </c>
      <c r="K379" s="135">
        <v>0</v>
      </c>
      <c r="L379" s="136">
        <v>0</v>
      </c>
      <c r="M379" s="135">
        <v>0</v>
      </c>
      <c r="N379" s="136">
        <v>0</v>
      </c>
      <c r="O379" s="135">
        <v>0</v>
      </c>
      <c r="P379" s="136">
        <v>1.0072083599999999</v>
      </c>
      <c r="Q379" s="135">
        <v>0</v>
      </c>
      <c r="R379" s="136">
        <v>0</v>
      </c>
    </row>
    <row r="380" spans="1:18">
      <c r="A380" s="108" t="s">
        <v>101</v>
      </c>
      <c r="B380" s="94">
        <f t="shared" si="102"/>
        <v>0</v>
      </c>
      <c r="C380" s="95">
        <f t="shared" si="103"/>
        <v>0.27820512820512827</v>
      </c>
      <c r="D380" s="109">
        <f t="shared" si="104"/>
        <v>4.0989714409968445E-2</v>
      </c>
      <c r="F380" s="97" t="s">
        <v>101</v>
      </c>
      <c r="G380" s="135">
        <v>0</v>
      </c>
      <c r="H380" s="136">
        <v>0</v>
      </c>
      <c r="I380" s="135">
        <v>0</v>
      </c>
      <c r="J380" s="136">
        <v>0</v>
      </c>
      <c r="K380" s="135">
        <v>0</v>
      </c>
      <c r="L380" s="136">
        <v>0</v>
      </c>
      <c r="M380" s="135">
        <v>0</v>
      </c>
      <c r="N380" s="136">
        <v>0</v>
      </c>
      <c r="O380" s="135">
        <v>0</v>
      </c>
      <c r="P380" s="136">
        <v>0.27820512820512827</v>
      </c>
      <c r="Q380" s="135">
        <v>0</v>
      </c>
      <c r="R380" s="136">
        <v>0</v>
      </c>
    </row>
    <row r="381" spans="1:18">
      <c r="A381" s="84" t="s">
        <v>39</v>
      </c>
      <c r="B381" s="85">
        <f>B382+B394</f>
        <v>8202</v>
      </c>
      <c r="C381" s="86">
        <f>C382+C394</f>
        <v>51409.035677552194</v>
      </c>
      <c r="D381" s="87">
        <f>D382+D394</f>
        <v>0.99999999999999989</v>
      </c>
      <c r="F381" s="84" t="s">
        <v>39</v>
      </c>
      <c r="G381" s="85">
        <f>SUM(G382:G393)</f>
        <v>386</v>
      </c>
      <c r="H381" s="86">
        <f t="shared" ref="H381:R381" si="105">SUM(H382:H393)</f>
        <v>40208.342468410003</v>
      </c>
      <c r="I381" s="85">
        <f t="shared" si="105"/>
        <v>33</v>
      </c>
      <c r="J381" s="86">
        <f t="shared" si="105"/>
        <v>674.73549965999996</v>
      </c>
      <c r="K381" s="85">
        <f t="shared" si="105"/>
        <v>2</v>
      </c>
      <c r="L381" s="86">
        <f t="shared" si="105"/>
        <v>22.75</v>
      </c>
      <c r="M381" s="85">
        <f t="shared" si="105"/>
        <v>3</v>
      </c>
      <c r="N381" s="86">
        <f t="shared" si="105"/>
        <v>123.11000000000001</v>
      </c>
      <c r="O381" s="85">
        <f t="shared" si="105"/>
        <v>419</v>
      </c>
      <c r="P381" s="86">
        <f t="shared" si="105"/>
        <v>344.36799841487624</v>
      </c>
      <c r="Q381" s="85">
        <f t="shared" si="105"/>
        <v>7359</v>
      </c>
      <c r="R381" s="86">
        <f t="shared" si="105"/>
        <v>10035.729711067313</v>
      </c>
    </row>
    <row r="382" spans="1:18">
      <c r="A382" s="88" t="s">
        <v>90</v>
      </c>
      <c r="B382" s="89">
        <f>SUM(B383:B393)</f>
        <v>843</v>
      </c>
      <c r="C382" s="90">
        <f>SUM(C383:C393)</f>
        <v>41373.305966484877</v>
      </c>
      <c r="D382" s="91">
        <f>SUM(D383:D393)</f>
        <v>0.80478665707691088</v>
      </c>
      <c r="F382" s="92"/>
      <c r="G382" s="89"/>
      <c r="H382" s="90"/>
      <c r="I382" s="89"/>
      <c r="J382" s="90"/>
      <c r="K382" s="89"/>
      <c r="L382" s="90"/>
      <c r="M382" s="89"/>
      <c r="N382" s="90"/>
      <c r="O382" s="89"/>
      <c r="P382" s="90"/>
      <c r="Q382" s="89"/>
      <c r="R382" s="90"/>
    </row>
    <row r="383" spans="1:18">
      <c r="A383" s="93" t="s">
        <v>91</v>
      </c>
      <c r="B383" s="94">
        <f t="shared" ref="B383:B393" si="106">G383+I383+K383+M383+O383</f>
        <v>188</v>
      </c>
      <c r="C383" s="95">
        <f t="shared" ref="C383:C393" si="107">H383+J383+L383+N383+P383</f>
        <v>5030.9698604867999</v>
      </c>
      <c r="D383" s="96">
        <f t="shared" ref="D383:D396" si="108">C383/$C$381</f>
        <v>9.7861587835299108E-2</v>
      </c>
      <c r="F383" s="97" t="s">
        <v>91</v>
      </c>
      <c r="G383" s="135">
        <v>72</v>
      </c>
      <c r="H383" s="136">
        <v>4935.2953467400021</v>
      </c>
      <c r="I383" s="135">
        <v>4</v>
      </c>
      <c r="J383" s="136">
        <v>24.145</v>
      </c>
      <c r="K383" s="135">
        <v>0</v>
      </c>
      <c r="L383" s="136">
        <v>0</v>
      </c>
      <c r="M383" s="135">
        <v>0</v>
      </c>
      <c r="N383" s="136">
        <v>0</v>
      </c>
      <c r="O383" s="135">
        <v>112</v>
      </c>
      <c r="P383" s="136">
        <v>71.52951374679769</v>
      </c>
      <c r="Q383" s="135">
        <v>0</v>
      </c>
      <c r="R383" s="136">
        <v>0</v>
      </c>
    </row>
    <row r="384" spans="1:18">
      <c r="A384" s="93" t="s">
        <v>92</v>
      </c>
      <c r="B384" s="94">
        <f t="shared" si="106"/>
        <v>38</v>
      </c>
      <c r="C384" s="95">
        <f t="shared" si="107"/>
        <v>689.33960043999991</v>
      </c>
      <c r="D384" s="96">
        <f t="shared" si="108"/>
        <v>1.3408919100596954E-2</v>
      </c>
      <c r="F384" s="97" t="s">
        <v>92</v>
      </c>
      <c r="G384" s="135">
        <v>14</v>
      </c>
      <c r="H384" s="136">
        <v>678.99287843999991</v>
      </c>
      <c r="I384" s="135">
        <v>0</v>
      </c>
      <c r="J384" s="136">
        <v>0</v>
      </c>
      <c r="K384" s="135">
        <v>0</v>
      </c>
      <c r="L384" s="136">
        <v>0</v>
      </c>
      <c r="M384" s="135">
        <v>0</v>
      </c>
      <c r="N384" s="136">
        <v>0</v>
      </c>
      <c r="O384" s="135">
        <v>24</v>
      </c>
      <c r="P384" s="136">
        <v>10.346722</v>
      </c>
      <c r="Q384" s="135">
        <v>0</v>
      </c>
      <c r="R384" s="136">
        <v>0</v>
      </c>
    </row>
    <row r="385" spans="1:18">
      <c r="A385" s="93" t="s">
        <v>93</v>
      </c>
      <c r="B385" s="94">
        <f t="shared" si="106"/>
        <v>145</v>
      </c>
      <c r="C385" s="95">
        <f t="shared" si="107"/>
        <v>10320.992550659505</v>
      </c>
      <c r="D385" s="96">
        <f t="shared" si="108"/>
        <v>0.20076222816928224</v>
      </c>
      <c r="F385" s="97" t="s">
        <v>93</v>
      </c>
      <c r="G385" s="135">
        <v>86</v>
      </c>
      <c r="H385" s="136">
        <v>10151.533843239999</v>
      </c>
      <c r="I385" s="135">
        <v>1</v>
      </c>
      <c r="J385" s="136">
        <v>4</v>
      </c>
      <c r="K385" s="135">
        <v>1</v>
      </c>
      <c r="L385" s="136">
        <v>2.75</v>
      </c>
      <c r="M385" s="135">
        <v>3</v>
      </c>
      <c r="N385" s="136">
        <v>123.11000000000001</v>
      </c>
      <c r="O385" s="135">
        <v>54</v>
      </c>
      <c r="P385" s="136">
        <v>39.598707419506205</v>
      </c>
      <c r="Q385" s="135">
        <v>0</v>
      </c>
      <c r="R385" s="136">
        <v>0</v>
      </c>
    </row>
    <row r="386" spans="1:18">
      <c r="A386" s="93" t="s">
        <v>94</v>
      </c>
      <c r="B386" s="94">
        <f t="shared" si="106"/>
        <v>100</v>
      </c>
      <c r="C386" s="95">
        <f t="shared" si="107"/>
        <v>4107.7524386787236</v>
      </c>
      <c r="D386" s="96">
        <f t="shared" si="108"/>
        <v>7.9903316305004676E-2</v>
      </c>
      <c r="F386" s="97" t="s">
        <v>94</v>
      </c>
      <c r="G386" s="135">
        <v>59</v>
      </c>
      <c r="H386" s="136">
        <v>4031.9478012799996</v>
      </c>
      <c r="I386" s="135">
        <v>4</v>
      </c>
      <c r="J386" s="136">
        <v>26.477525</v>
      </c>
      <c r="K386" s="135">
        <v>1</v>
      </c>
      <c r="L386" s="136">
        <v>20</v>
      </c>
      <c r="M386" s="135">
        <v>0</v>
      </c>
      <c r="N386" s="136">
        <v>0</v>
      </c>
      <c r="O386" s="135">
        <v>36</v>
      </c>
      <c r="P386" s="136">
        <v>29.327112398724083</v>
      </c>
      <c r="Q386" s="135">
        <v>4415</v>
      </c>
      <c r="R386" s="136">
        <v>5830.5388805236571</v>
      </c>
    </row>
    <row r="387" spans="1:18">
      <c r="A387" s="93" t="s">
        <v>95</v>
      </c>
      <c r="B387" s="94">
        <f t="shared" si="106"/>
        <v>38</v>
      </c>
      <c r="C387" s="95">
        <f t="shared" si="107"/>
        <v>1705.4113733394536</v>
      </c>
      <c r="D387" s="96">
        <f t="shared" si="108"/>
        <v>3.3173378003745035E-2</v>
      </c>
      <c r="F387" s="97" t="s">
        <v>95</v>
      </c>
      <c r="G387" s="135">
        <v>14</v>
      </c>
      <c r="H387" s="136">
        <v>1679.53535612</v>
      </c>
      <c r="I387" s="135">
        <v>5</v>
      </c>
      <c r="J387" s="136">
        <v>15.678268660000001</v>
      </c>
      <c r="K387" s="135">
        <v>0</v>
      </c>
      <c r="L387" s="136">
        <v>0</v>
      </c>
      <c r="M387" s="135">
        <v>0</v>
      </c>
      <c r="N387" s="136">
        <v>0</v>
      </c>
      <c r="O387" s="135">
        <v>19</v>
      </c>
      <c r="P387" s="136">
        <v>10.197748559453688</v>
      </c>
      <c r="Q387" s="135">
        <v>0</v>
      </c>
      <c r="R387" s="136">
        <v>0</v>
      </c>
    </row>
    <row r="388" spans="1:18">
      <c r="A388" s="93" t="s">
        <v>96</v>
      </c>
      <c r="B388" s="94">
        <f t="shared" si="106"/>
        <v>44</v>
      </c>
      <c r="C388" s="95">
        <f t="shared" si="107"/>
        <v>1935.1485248200001</v>
      </c>
      <c r="D388" s="96">
        <f t="shared" si="108"/>
        <v>3.7642186812404742E-2</v>
      </c>
      <c r="F388" s="97" t="s">
        <v>96</v>
      </c>
      <c r="G388" s="135">
        <v>24</v>
      </c>
      <c r="H388" s="136">
        <v>1925.0484070400003</v>
      </c>
      <c r="I388" s="135">
        <v>0</v>
      </c>
      <c r="J388" s="136">
        <v>0</v>
      </c>
      <c r="K388" s="135">
        <v>0</v>
      </c>
      <c r="L388" s="136">
        <v>0</v>
      </c>
      <c r="M388" s="135">
        <v>0</v>
      </c>
      <c r="N388" s="136">
        <v>0</v>
      </c>
      <c r="O388" s="135">
        <v>20</v>
      </c>
      <c r="P388" s="136">
        <v>10.100117780000003</v>
      </c>
      <c r="Q388" s="135">
        <v>2944</v>
      </c>
      <c r="R388" s="136">
        <v>4205.1908305436573</v>
      </c>
    </row>
    <row r="389" spans="1:18">
      <c r="A389" s="93" t="s">
        <v>97</v>
      </c>
      <c r="B389" s="94">
        <f t="shared" si="106"/>
        <v>2</v>
      </c>
      <c r="C389" s="95">
        <f t="shared" si="107"/>
        <v>2.9224784510205244</v>
      </c>
      <c r="D389" s="96">
        <f t="shared" si="108"/>
        <v>5.6847564100421891E-5</v>
      </c>
      <c r="F389" s="97" t="s">
        <v>97</v>
      </c>
      <c r="G389" s="135">
        <v>0</v>
      </c>
      <c r="H389" s="136">
        <v>0</v>
      </c>
      <c r="I389" s="135">
        <v>0</v>
      </c>
      <c r="J389" s="136">
        <v>0</v>
      </c>
      <c r="K389" s="135">
        <v>0</v>
      </c>
      <c r="L389" s="136">
        <v>0</v>
      </c>
      <c r="M389" s="135">
        <v>0</v>
      </c>
      <c r="N389" s="136">
        <v>0</v>
      </c>
      <c r="O389" s="135">
        <v>2</v>
      </c>
      <c r="P389" s="136">
        <v>2.9224784510205244</v>
      </c>
      <c r="Q389" s="135">
        <v>0</v>
      </c>
      <c r="R389" s="136">
        <v>0</v>
      </c>
    </row>
    <row r="390" spans="1:18">
      <c r="A390" s="93" t="s">
        <v>98</v>
      </c>
      <c r="B390" s="94">
        <f t="shared" si="106"/>
        <v>33</v>
      </c>
      <c r="C390" s="95">
        <f t="shared" si="107"/>
        <v>1786.6723074099998</v>
      </c>
      <c r="D390" s="96">
        <f t="shared" si="108"/>
        <v>3.4754052159553579E-2</v>
      </c>
      <c r="F390" s="97" t="s">
        <v>98</v>
      </c>
      <c r="G390" s="135">
        <v>11</v>
      </c>
      <c r="H390" s="136">
        <v>1545.4103154099998</v>
      </c>
      <c r="I390" s="135">
        <v>5</v>
      </c>
      <c r="J390" s="136">
        <v>213</v>
      </c>
      <c r="K390" s="135">
        <v>0</v>
      </c>
      <c r="L390" s="136">
        <v>0</v>
      </c>
      <c r="M390" s="135">
        <v>0</v>
      </c>
      <c r="N390" s="136">
        <v>0</v>
      </c>
      <c r="O390" s="135">
        <v>17</v>
      </c>
      <c r="P390" s="136">
        <v>28.261991999999999</v>
      </c>
      <c r="Q390" s="135">
        <v>0</v>
      </c>
      <c r="R390" s="136">
        <v>0</v>
      </c>
    </row>
    <row r="391" spans="1:18">
      <c r="A391" s="93" t="s">
        <v>99</v>
      </c>
      <c r="B391" s="94">
        <f t="shared" si="106"/>
        <v>106</v>
      </c>
      <c r="C391" s="95">
        <f t="shared" si="107"/>
        <v>8274.7779465345011</v>
      </c>
      <c r="D391" s="96">
        <f t="shared" si="108"/>
        <v>0.16095960247991367</v>
      </c>
      <c r="F391" s="97" t="s">
        <v>99</v>
      </c>
      <c r="G391" s="135">
        <v>40</v>
      </c>
      <c r="H391" s="136">
        <v>8152.8375065299988</v>
      </c>
      <c r="I391" s="135">
        <v>5</v>
      </c>
      <c r="J391" s="136">
        <v>51.634706000000001</v>
      </c>
      <c r="K391" s="135">
        <v>0</v>
      </c>
      <c r="L391" s="136">
        <v>0</v>
      </c>
      <c r="M391" s="135">
        <v>0</v>
      </c>
      <c r="N391" s="136">
        <v>0</v>
      </c>
      <c r="O391" s="135">
        <v>61</v>
      </c>
      <c r="P391" s="136">
        <v>70.305734004502227</v>
      </c>
      <c r="Q391" s="135">
        <v>0</v>
      </c>
      <c r="R391" s="136">
        <v>0</v>
      </c>
    </row>
    <row r="392" spans="1:18">
      <c r="A392" s="93" t="s">
        <v>100</v>
      </c>
      <c r="B392" s="94">
        <f t="shared" si="106"/>
        <v>90</v>
      </c>
      <c r="C392" s="95">
        <f t="shared" si="107"/>
        <v>6041.9191992666665</v>
      </c>
      <c r="D392" s="96">
        <f t="shared" si="108"/>
        <v>0.11752640600307694</v>
      </c>
      <c r="F392" s="97" t="s">
        <v>100</v>
      </c>
      <c r="G392" s="135">
        <v>42</v>
      </c>
      <c r="H392" s="136">
        <v>5667.6942883399997</v>
      </c>
      <c r="I392" s="135">
        <v>7</v>
      </c>
      <c r="J392" s="136">
        <v>332.8</v>
      </c>
      <c r="K392" s="135">
        <v>0</v>
      </c>
      <c r="L392" s="136">
        <v>0</v>
      </c>
      <c r="M392" s="135">
        <v>0</v>
      </c>
      <c r="N392" s="136">
        <v>0</v>
      </c>
      <c r="O392" s="135">
        <v>41</v>
      </c>
      <c r="P392" s="136">
        <v>41.424910926666662</v>
      </c>
      <c r="Q392" s="135">
        <v>0</v>
      </c>
      <c r="R392" s="136">
        <v>0</v>
      </c>
    </row>
    <row r="393" spans="1:18">
      <c r="A393" s="93" t="s">
        <v>101</v>
      </c>
      <c r="B393" s="94">
        <f t="shared" si="106"/>
        <v>59</v>
      </c>
      <c r="C393" s="95">
        <f t="shared" si="107"/>
        <v>1477.3996863982052</v>
      </c>
      <c r="D393" s="96">
        <f t="shared" si="108"/>
        <v>2.873813264393351E-2</v>
      </c>
      <c r="F393" s="97" t="s">
        <v>101</v>
      </c>
      <c r="G393" s="135">
        <v>24</v>
      </c>
      <c r="H393" s="136">
        <v>1440.04672527</v>
      </c>
      <c r="I393" s="135">
        <v>2</v>
      </c>
      <c r="J393" s="136">
        <v>7</v>
      </c>
      <c r="K393" s="135">
        <v>0</v>
      </c>
      <c r="L393" s="136">
        <v>0</v>
      </c>
      <c r="M393" s="135">
        <v>0</v>
      </c>
      <c r="N393" s="136">
        <v>0</v>
      </c>
      <c r="O393" s="135">
        <v>33</v>
      </c>
      <c r="P393" s="136">
        <v>30.352961128205127</v>
      </c>
      <c r="Q393" s="135">
        <v>0</v>
      </c>
      <c r="R393" s="136">
        <v>0</v>
      </c>
    </row>
    <row r="394" spans="1:18" ht="17.25">
      <c r="A394" s="88" t="s">
        <v>110</v>
      </c>
      <c r="B394" s="89">
        <f>SUM(B395:B396)</f>
        <v>7359</v>
      </c>
      <c r="C394" s="90">
        <f>SUM(C395:C396)</f>
        <v>10035.729711067313</v>
      </c>
      <c r="D394" s="91">
        <f>SUM(D395:D396)</f>
        <v>0.19521334292308901</v>
      </c>
      <c r="E394" s="123"/>
      <c r="F394" s="97"/>
      <c r="G394" s="135"/>
      <c r="H394" s="136"/>
      <c r="I394" s="135"/>
      <c r="J394" s="136"/>
      <c r="K394" s="135"/>
      <c r="L394" s="136"/>
      <c r="M394" s="135"/>
      <c r="N394" s="136"/>
      <c r="O394" s="135"/>
      <c r="P394" s="136"/>
      <c r="Q394" s="135"/>
      <c r="R394" s="136"/>
    </row>
    <row r="395" spans="1:18">
      <c r="A395" s="93" t="s">
        <v>94</v>
      </c>
      <c r="B395" s="94">
        <f>Q386</f>
        <v>4415</v>
      </c>
      <c r="C395" s="95">
        <f>R386</f>
        <v>5830.5388805236571</v>
      </c>
      <c r="D395" s="96">
        <f t="shared" si="108"/>
        <v>0.11341467124755984</v>
      </c>
      <c r="F395" s="97"/>
      <c r="G395" s="135"/>
      <c r="H395" s="136"/>
      <c r="I395" s="135"/>
      <c r="J395" s="136"/>
      <c r="K395" s="135"/>
      <c r="L395" s="136"/>
      <c r="M395" s="135"/>
      <c r="N395" s="136"/>
      <c r="O395" s="135"/>
      <c r="P395" s="136"/>
      <c r="Q395" s="135"/>
      <c r="R395" s="136"/>
    </row>
    <row r="396" spans="1:18">
      <c r="A396" s="93" t="s">
        <v>96</v>
      </c>
      <c r="B396" s="94">
        <f>Q388</f>
        <v>2944</v>
      </c>
      <c r="C396" s="95">
        <f>R388</f>
        <v>4205.1908305436573</v>
      </c>
      <c r="D396" s="96">
        <f t="shared" si="108"/>
        <v>8.1798671675529178E-2</v>
      </c>
      <c r="F396" s="97"/>
      <c r="G396" s="135"/>
      <c r="H396" s="136"/>
      <c r="I396" s="135"/>
      <c r="J396" s="136"/>
      <c r="K396" s="135"/>
      <c r="L396" s="136"/>
      <c r="M396" s="135"/>
      <c r="N396" s="136"/>
      <c r="O396" s="135"/>
      <c r="P396" s="136"/>
      <c r="Q396" s="135"/>
      <c r="R396" s="136"/>
    </row>
    <row r="397" spans="1:18">
      <c r="A397" s="84" t="s">
        <v>41</v>
      </c>
      <c r="B397" s="85">
        <f>SUM(B398:B408)</f>
        <v>29</v>
      </c>
      <c r="C397" s="86">
        <f>SUM(C398:C408)</f>
        <v>212.90862850060049</v>
      </c>
      <c r="D397" s="87">
        <f>SUM(D398:D408)</f>
        <v>1.0000000000000002</v>
      </c>
      <c r="F397" s="84" t="s">
        <v>41</v>
      </c>
      <c r="G397" s="85">
        <f>SUM(G398:G408)</f>
        <v>14</v>
      </c>
      <c r="H397" s="86">
        <f t="shared" ref="H397:R397" si="109">SUM(H398:H408)</f>
        <v>189.70770621999998</v>
      </c>
      <c r="I397" s="85">
        <f t="shared" si="109"/>
        <v>6</v>
      </c>
      <c r="J397" s="86">
        <f t="shared" si="109"/>
        <v>7.916442</v>
      </c>
      <c r="K397" s="85">
        <f t="shared" si="109"/>
        <v>0</v>
      </c>
      <c r="L397" s="86">
        <f t="shared" si="109"/>
        <v>0</v>
      </c>
      <c r="M397" s="85">
        <f t="shared" si="109"/>
        <v>0</v>
      </c>
      <c r="N397" s="86">
        <f t="shared" si="109"/>
        <v>0</v>
      </c>
      <c r="O397" s="85">
        <f t="shared" si="109"/>
        <v>9</v>
      </c>
      <c r="P397" s="86">
        <f t="shared" si="109"/>
        <v>15.284480280600517</v>
      </c>
      <c r="Q397" s="85">
        <f t="shared" si="109"/>
        <v>0</v>
      </c>
      <c r="R397" s="86">
        <f t="shared" si="109"/>
        <v>0</v>
      </c>
    </row>
    <row r="398" spans="1:18">
      <c r="A398" s="99" t="s">
        <v>91</v>
      </c>
      <c r="B398" s="94">
        <f t="shared" ref="B398:B408" si="110">G398+I398+K398+M398+O398</f>
        <v>0</v>
      </c>
      <c r="C398" s="95">
        <f t="shared" ref="C398:C408" si="111">H398+J398+L398+N398+P398</f>
        <v>0.27500000000000002</v>
      </c>
      <c r="D398" s="96">
        <f>C398/$C$397</f>
        <v>1.2916338897896024E-3</v>
      </c>
      <c r="F398" s="97" t="s">
        <v>91</v>
      </c>
      <c r="G398" s="135">
        <v>0</v>
      </c>
      <c r="H398" s="136">
        <v>0</v>
      </c>
      <c r="I398" s="135">
        <v>0</v>
      </c>
      <c r="J398" s="136">
        <v>0</v>
      </c>
      <c r="K398" s="135">
        <v>0</v>
      </c>
      <c r="L398" s="136">
        <v>0</v>
      </c>
      <c r="M398" s="135">
        <v>0</v>
      </c>
      <c r="N398" s="136">
        <v>0</v>
      </c>
      <c r="O398" s="135">
        <v>0</v>
      </c>
      <c r="P398" s="136">
        <v>0.27500000000000002</v>
      </c>
      <c r="Q398" s="135">
        <v>0</v>
      </c>
      <c r="R398" s="136">
        <v>0</v>
      </c>
    </row>
    <row r="399" spans="1:18">
      <c r="A399" s="99" t="s">
        <v>92</v>
      </c>
      <c r="B399" s="94">
        <f t="shared" si="110"/>
        <v>0</v>
      </c>
      <c r="C399" s="95">
        <f t="shared" si="111"/>
        <v>1.347105952857143</v>
      </c>
      <c r="D399" s="96">
        <f t="shared" ref="D399:D408" si="112">C399/$C$397</f>
        <v>6.327155279445819E-3</v>
      </c>
      <c r="F399" s="97" t="s">
        <v>92</v>
      </c>
      <c r="G399" s="135">
        <v>0</v>
      </c>
      <c r="H399" s="136">
        <v>0</v>
      </c>
      <c r="I399" s="135">
        <v>0</v>
      </c>
      <c r="J399" s="136">
        <v>0</v>
      </c>
      <c r="K399" s="135">
        <v>0</v>
      </c>
      <c r="L399" s="136">
        <v>0</v>
      </c>
      <c r="M399" s="135">
        <v>0</v>
      </c>
      <c r="N399" s="136">
        <v>0</v>
      </c>
      <c r="O399" s="135">
        <v>0</v>
      </c>
      <c r="P399" s="136">
        <v>1.347105952857143</v>
      </c>
      <c r="Q399" s="135">
        <v>0</v>
      </c>
      <c r="R399" s="136">
        <v>0</v>
      </c>
    </row>
    <row r="400" spans="1:18">
      <c r="A400" s="99" t="s">
        <v>93</v>
      </c>
      <c r="B400" s="94">
        <f t="shared" si="110"/>
        <v>5</v>
      </c>
      <c r="C400" s="95">
        <f t="shared" si="111"/>
        <v>11.379071242233469</v>
      </c>
      <c r="D400" s="96">
        <f t="shared" si="112"/>
        <v>5.3445796548360062E-2</v>
      </c>
      <c r="F400" s="97" t="s">
        <v>93</v>
      </c>
      <c r="G400" s="135">
        <v>1</v>
      </c>
      <c r="H400" s="136">
        <v>5</v>
      </c>
      <c r="I400" s="135">
        <v>1</v>
      </c>
      <c r="J400" s="136">
        <v>3</v>
      </c>
      <c r="K400" s="135">
        <v>0</v>
      </c>
      <c r="L400" s="136">
        <v>0</v>
      </c>
      <c r="M400" s="135">
        <v>0</v>
      </c>
      <c r="N400" s="136">
        <v>0</v>
      </c>
      <c r="O400" s="135">
        <v>3</v>
      </c>
      <c r="P400" s="136">
        <v>3.3790712422334677</v>
      </c>
      <c r="Q400" s="135">
        <v>0</v>
      </c>
      <c r="R400" s="136">
        <v>0</v>
      </c>
    </row>
    <row r="401" spans="1:18">
      <c r="A401" s="99" t="s">
        <v>94</v>
      </c>
      <c r="B401" s="94">
        <f t="shared" si="110"/>
        <v>0</v>
      </c>
      <c r="C401" s="95">
        <f t="shared" si="111"/>
        <v>0.28571428999999998</v>
      </c>
      <c r="D401" s="96">
        <f t="shared" si="112"/>
        <v>1.3419573082224525E-3</v>
      </c>
      <c r="F401" s="97" t="s">
        <v>94</v>
      </c>
      <c r="G401" s="135">
        <v>0</v>
      </c>
      <c r="H401" s="136">
        <v>0</v>
      </c>
      <c r="I401" s="135">
        <v>0</v>
      </c>
      <c r="J401" s="136">
        <v>0</v>
      </c>
      <c r="K401" s="135">
        <v>0</v>
      </c>
      <c r="L401" s="136">
        <v>0</v>
      </c>
      <c r="M401" s="135">
        <v>0</v>
      </c>
      <c r="N401" s="136">
        <v>0</v>
      </c>
      <c r="O401" s="135">
        <v>0</v>
      </c>
      <c r="P401" s="136">
        <v>0.28571428999999998</v>
      </c>
      <c r="Q401" s="135">
        <v>0</v>
      </c>
      <c r="R401" s="136">
        <v>0</v>
      </c>
    </row>
    <row r="402" spans="1:18">
      <c r="A402" s="99" t="s">
        <v>95</v>
      </c>
      <c r="B402" s="94">
        <f t="shared" si="110"/>
        <v>3</v>
      </c>
      <c r="C402" s="95">
        <f t="shared" si="111"/>
        <v>2.1016935288190073</v>
      </c>
      <c r="D402" s="96">
        <f t="shared" si="112"/>
        <v>9.871340319178655E-3</v>
      </c>
      <c r="F402" s="97" t="s">
        <v>95</v>
      </c>
      <c r="G402" s="135">
        <v>0</v>
      </c>
      <c r="H402" s="136">
        <v>0</v>
      </c>
      <c r="I402" s="135">
        <v>2</v>
      </c>
      <c r="J402" s="136">
        <v>1.2</v>
      </c>
      <c r="K402" s="135">
        <v>0</v>
      </c>
      <c r="L402" s="136">
        <v>0</v>
      </c>
      <c r="M402" s="135">
        <v>0</v>
      </c>
      <c r="N402" s="136">
        <v>0</v>
      </c>
      <c r="O402" s="135">
        <v>1</v>
      </c>
      <c r="P402" s="136">
        <v>0.90169352881900744</v>
      </c>
      <c r="Q402" s="135">
        <v>0</v>
      </c>
      <c r="R402" s="136">
        <v>0</v>
      </c>
    </row>
    <row r="403" spans="1:18">
      <c r="A403" s="99" t="s">
        <v>96</v>
      </c>
      <c r="B403" s="94">
        <f t="shared" si="110"/>
        <v>0</v>
      </c>
      <c r="C403" s="95">
        <f t="shared" si="111"/>
        <v>0.53593000000000002</v>
      </c>
      <c r="D403" s="96">
        <f t="shared" si="112"/>
        <v>2.5171830929270602E-3</v>
      </c>
      <c r="F403" s="97" t="s">
        <v>96</v>
      </c>
      <c r="G403" s="135">
        <v>0</v>
      </c>
      <c r="H403" s="136">
        <v>0</v>
      </c>
      <c r="I403" s="135">
        <v>0</v>
      </c>
      <c r="J403" s="136">
        <v>0</v>
      </c>
      <c r="K403" s="135">
        <v>0</v>
      </c>
      <c r="L403" s="136">
        <v>0</v>
      </c>
      <c r="M403" s="135">
        <v>0</v>
      </c>
      <c r="N403" s="136">
        <v>0</v>
      </c>
      <c r="O403" s="135">
        <v>0</v>
      </c>
      <c r="P403" s="136">
        <v>0.53593000000000002</v>
      </c>
      <c r="Q403" s="135">
        <v>0</v>
      </c>
      <c r="R403" s="136">
        <v>0</v>
      </c>
    </row>
    <row r="404" spans="1:18">
      <c r="A404" s="99" t="s">
        <v>97</v>
      </c>
      <c r="B404" s="94">
        <f t="shared" si="110"/>
        <v>2</v>
      </c>
      <c r="C404" s="95">
        <f t="shared" si="111"/>
        <v>25.007278185565976</v>
      </c>
      <c r="D404" s="96">
        <f t="shared" si="112"/>
        <v>0.11745544725772092</v>
      </c>
      <c r="F404" s="97" t="s">
        <v>97</v>
      </c>
      <c r="G404" s="135">
        <v>2</v>
      </c>
      <c r="H404" s="136">
        <v>24.795909279999996</v>
      </c>
      <c r="I404" s="135">
        <v>0</v>
      </c>
      <c r="J404" s="136">
        <v>0</v>
      </c>
      <c r="K404" s="135">
        <v>0</v>
      </c>
      <c r="L404" s="136">
        <v>0</v>
      </c>
      <c r="M404" s="135">
        <v>0</v>
      </c>
      <c r="N404" s="136">
        <v>0</v>
      </c>
      <c r="O404" s="135">
        <v>0</v>
      </c>
      <c r="P404" s="136">
        <v>0.21136890556597876</v>
      </c>
      <c r="Q404" s="135">
        <v>0</v>
      </c>
      <c r="R404" s="136">
        <v>0</v>
      </c>
    </row>
    <row r="405" spans="1:18">
      <c r="A405" s="99" t="s">
        <v>98</v>
      </c>
      <c r="B405" s="94">
        <f t="shared" si="110"/>
        <v>0</v>
      </c>
      <c r="C405" s="95">
        <f t="shared" si="111"/>
        <v>0.20499299999999998</v>
      </c>
      <c r="D405" s="96">
        <f t="shared" si="112"/>
        <v>9.6282147625323616E-4</v>
      </c>
      <c r="F405" s="97" t="s">
        <v>98</v>
      </c>
      <c r="G405" s="135">
        <v>0</v>
      </c>
      <c r="H405" s="136">
        <v>0</v>
      </c>
      <c r="I405" s="135">
        <v>0</v>
      </c>
      <c r="J405" s="136">
        <v>0</v>
      </c>
      <c r="K405" s="135">
        <v>0</v>
      </c>
      <c r="L405" s="136">
        <v>0</v>
      </c>
      <c r="M405" s="135">
        <v>0</v>
      </c>
      <c r="N405" s="136">
        <v>0</v>
      </c>
      <c r="O405" s="135">
        <v>0</v>
      </c>
      <c r="P405" s="136">
        <v>0.20499299999999998</v>
      </c>
      <c r="Q405" s="135">
        <v>0</v>
      </c>
      <c r="R405" s="136">
        <v>0</v>
      </c>
    </row>
    <row r="406" spans="1:18">
      <c r="A406" s="99" t="s">
        <v>99</v>
      </c>
      <c r="B406" s="94">
        <f t="shared" si="110"/>
        <v>11</v>
      </c>
      <c r="C406" s="95">
        <f t="shared" si="111"/>
        <v>118.69963188291979</v>
      </c>
      <c r="D406" s="96">
        <f t="shared" si="112"/>
        <v>0.55751442634738035</v>
      </c>
      <c r="F406" s="97" t="s">
        <v>99</v>
      </c>
      <c r="G406" s="135">
        <v>6</v>
      </c>
      <c r="H406" s="136">
        <v>110</v>
      </c>
      <c r="I406" s="135">
        <v>3</v>
      </c>
      <c r="J406" s="136">
        <v>3.7164419999999998</v>
      </c>
      <c r="K406" s="135">
        <v>0</v>
      </c>
      <c r="L406" s="136">
        <v>0</v>
      </c>
      <c r="M406" s="135">
        <v>0</v>
      </c>
      <c r="N406" s="136">
        <v>0</v>
      </c>
      <c r="O406" s="135">
        <v>2</v>
      </c>
      <c r="P406" s="136">
        <v>4.9831898829197936</v>
      </c>
      <c r="Q406" s="135">
        <v>0</v>
      </c>
      <c r="R406" s="136">
        <v>0</v>
      </c>
    </row>
    <row r="407" spans="1:18">
      <c r="A407" s="99" t="s">
        <v>100</v>
      </c>
      <c r="B407" s="94">
        <f t="shared" si="110"/>
        <v>0</v>
      </c>
      <c r="C407" s="95">
        <f t="shared" si="111"/>
        <v>0.30720834999999996</v>
      </c>
      <c r="D407" s="96">
        <f t="shared" si="112"/>
        <v>1.4429116948594383E-3</v>
      </c>
      <c r="F407" s="97" t="s">
        <v>100</v>
      </c>
      <c r="G407" s="135">
        <v>0</v>
      </c>
      <c r="H407" s="136">
        <v>0</v>
      </c>
      <c r="I407" s="135">
        <v>0</v>
      </c>
      <c r="J407" s="136">
        <v>0</v>
      </c>
      <c r="K407" s="135">
        <v>0</v>
      </c>
      <c r="L407" s="136">
        <v>0</v>
      </c>
      <c r="M407" s="135">
        <v>0</v>
      </c>
      <c r="N407" s="136">
        <v>0</v>
      </c>
      <c r="O407" s="135">
        <v>0</v>
      </c>
      <c r="P407" s="136">
        <v>0.30720834999999996</v>
      </c>
      <c r="Q407" s="135">
        <v>0</v>
      </c>
      <c r="R407" s="136">
        <v>0</v>
      </c>
    </row>
    <row r="408" spans="1:18">
      <c r="A408" s="99" t="s">
        <v>101</v>
      </c>
      <c r="B408" s="94">
        <f t="shared" si="110"/>
        <v>8</v>
      </c>
      <c r="C408" s="95">
        <f t="shared" si="111"/>
        <v>52.765002068205128</v>
      </c>
      <c r="D408" s="96">
        <f t="shared" si="112"/>
        <v>0.24782932678586256</v>
      </c>
      <c r="F408" s="97" t="s">
        <v>101</v>
      </c>
      <c r="G408" s="135">
        <v>5</v>
      </c>
      <c r="H408" s="136">
        <v>49.911796940000002</v>
      </c>
      <c r="I408" s="135">
        <v>0</v>
      </c>
      <c r="J408" s="136">
        <v>0</v>
      </c>
      <c r="K408" s="135">
        <v>0</v>
      </c>
      <c r="L408" s="136">
        <v>0</v>
      </c>
      <c r="M408" s="135">
        <v>0</v>
      </c>
      <c r="N408" s="136">
        <v>0</v>
      </c>
      <c r="O408" s="135">
        <v>3</v>
      </c>
      <c r="P408" s="136">
        <v>2.8532051282051274</v>
      </c>
      <c r="Q408" s="135">
        <v>0</v>
      </c>
      <c r="R408" s="136">
        <v>0</v>
      </c>
    </row>
    <row r="409" spans="1:18">
      <c r="A409" s="84" t="s">
        <v>42</v>
      </c>
      <c r="B409" s="85">
        <f>SUM(B410:B420)</f>
        <v>299</v>
      </c>
      <c r="C409" s="86">
        <f>SUM(C410:C420)</f>
        <v>4948.1110960505093</v>
      </c>
      <c r="D409" s="87">
        <f>SUM(D410:D420)</f>
        <v>0.99999999999999978</v>
      </c>
      <c r="F409" s="84" t="s">
        <v>42</v>
      </c>
      <c r="G409" s="85">
        <f>SUM(G410:G420)</f>
        <v>109</v>
      </c>
      <c r="H409" s="86">
        <f t="shared" ref="H409:R409" si="113">SUM(H410:H420)</f>
        <v>4575.03033891</v>
      </c>
      <c r="I409" s="85">
        <f t="shared" si="113"/>
        <v>23</v>
      </c>
      <c r="J409" s="86">
        <f t="shared" si="113"/>
        <v>229.21452599999998</v>
      </c>
      <c r="K409" s="85">
        <f t="shared" si="113"/>
        <v>2</v>
      </c>
      <c r="L409" s="86">
        <f t="shared" si="113"/>
        <v>35</v>
      </c>
      <c r="M409" s="85">
        <f t="shared" si="113"/>
        <v>0</v>
      </c>
      <c r="N409" s="86">
        <f t="shared" si="113"/>
        <v>0</v>
      </c>
      <c r="O409" s="85">
        <f t="shared" si="113"/>
        <v>165</v>
      </c>
      <c r="P409" s="86">
        <f t="shared" si="113"/>
        <v>108.86623114050862</v>
      </c>
      <c r="Q409" s="85">
        <f t="shared" si="113"/>
        <v>0</v>
      </c>
      <c r="R409" s="86">
        <f t="shared" si="113"/>
        <v>0</v>
      </c>
    </row>
    <row r="410" spans="1:18">
      <c r="A410" s="99" t="s">
        <v>91</v>
      </c>
      <c r="B410" s="94">
        <f t="shared" ref="B410:B420" si="114">G410+I410+K410+M410+O410</f>
        <v>42</v>
      </c>
      <c r="C410" s="95">
        <f t="shared" ref="C410:C420" si="115">H410+J410+L410+N410+P410</f>
        <v>202.57426706999999</v>
      </c>
      <c r="D410" s="96">
        <f>C410/$C$409</f>
        <v>4.0939716820766414E-2</v>
      </c>
      <c r="F410" s="97" t="s">
        <v>91</v>
      </c>
      <c r="G410" s="135">
        <v>13</v>
      </c>
      <c r="H410" s="136">
        <v>193.05876706999999</v>
      </c>
      <c r="I410" s="135">
        <v>0</v>
      </c>
      <c r="J410" s="136">
        <v>0</v>
      </c>
      <c r="K410" s="135">
        <v>0</v>
      </c>
      <c r="L410" s="136">
        <v>0</v>
      </c>
      <c r="M410" s="135">
        <v>0</v>
      </c>
      <c r="N410" s="136">
        <v>0</v>
      </c>
      <c r="O410" s="135">
        <v>29</v>
      </c>
      <c r="P410" s="136">
        <v>9.5155000000000012</v>
      </c>
      <c r="Q410" s="135">
        <v>0</v>
      </c>
      <c r="R410" s="136">
        <v>0</v>
      </c>
    </row>
    <row r="411" spans="1:18">
      <c r="A411" s="99" t="s">
        <v>92</v>
      </c>
      <c r="B411" s="94">
        <f t="shared" si="114"/>
        <v>14</v>
      </c>
      <c r="C411" s="95">
        <f t="shared" si="115"/>
        <v>126.76623853285714</v>
      </c>
      <c r="D411" s="96">
        <f t="shared" ref="D411:D420" si="116">C411/$C$409</f>
        <v>2.5619117289836037E-2</v>
      </c>
      <c r="F411" s="97" t="s">
        <v>92</v>
      </c>
      <c r="G411" s="135">
        <v>5</v>
      </c>
      <c r="H411" s="136">
        <v>105.49773258</v>
      </c>
      <c r="I411" s="135">
        <v>2</v>
      </c>
      <c r="J411" s="136">
        <v>16.18</v>
      </c>
      <c r="K411" s="135">
        <v>0</v>
      </c>
      <c r="L411" s="136">
        <v>0</v>
      </c>
      <c r="M411" s="135">
        <v>0</v>
      </c>
      <c r="N411" s="136">
        <v>0</v>
      </c>
      <c r="O411" s="135">
        <v>7</v>
      </c>
      <c r="P411" s="136">
        <v>5.088505952857143</v>
      </c>
      <c r="Q411" s="135">
        <v>0</v>
      </c>
      <c r="R411" s="136">
        <v>0</v>
      </c>
    </row>
    <row r="412" spans="1:18">
      <c r="A412" s="99" t="s">
        <v>93</v>
      </c>
      <c r="B412" s="94">
        <f t="shared" si="114"/>
        <v>32</v>
      </c>
      <c r="C412" s="95">
        <f t="shared" si="115"/>
        <v>458.70379653223347</v>
      </c>
      <c r="D412" s="96">
        <f t="shared" si="116"/>
        <v>9.2702808734097003E-2</v>
      </c>
      <c r="F412" s="97" t="s">
        <v>93</v>
      </c>
      <c r="G412" s="135">
        <v>13</v>
      </c>
      <c r="H412" s="136">
        <v>436.48087984</v>
      </c>
      <c r="I412" s="135">
        <v>3</v>
      </c>
      <c r="J412" s="136">
        <v>9.7663000000000011</v>
      </c>
      <c r="K412" s="135">
        <v>0</v>
      </c>
      <c r="L412" s="136">
        <v>0</v>
      </c>
      <c r="M412" s="135">
        <v>0</v>
      </c>
      <c r="N412" s="136">
        <v>0</v>
      </c>
      <c r="O412" s="135">
        <v>16</v>
      </c>
      <c r="P412" s="136">
        <v>12.456616692233467</v>
      </c>
      <c r="Q412" s="135">
        <v>0</v>
      </c>
      <c r="R412" s="136">
        <v>0</v>
      </c>
    </row>
    <row r="413" spans="1:18">
      <c r="A413" s="99" t="s">
        <v>94</v>
      </c>
      <c r="B413" s="94">
        <f t="shared" si="114"/>
        <v>17</v>
      </c>
      <c r="C413" s="95">
        <f t="shared" si="115"/>
        <v>76.410263960303027</v>
      </c>
      <c r="D413" s="96">
        <f t="shared" si="116"/>
        <v>1.5442309696985641E-2</v>
      </c>
      <c r="F413" s="97" t="s">
        <v>94</v>
      </c>
      <c r="G413" s="135">
        <v>5</v>
      </c>
      <c r="H413" s="136">
        <v>45.119970639999998</v>
      </c>
      <c r="I413" s="135">
        <v>3</v>
      </c>
      <c r="J413" s="136">
        <v>10.00299</v>
      </c>
      <c r="K413" s="135">
        <v>1</v>
      </c>
      <c r="L413" s="136">
        <v>10</v>
      </c>
      <c r="M413" s="135">
        <v>0</v>
      </c>
      <c r="N413" s="136">
        <v>0</v>
      </c>
      <c r="O413" s="135">
        <v>8</v>
      </c>
      <c r="P413" s="136">
        <v>11.287303320303028</v>
      </c>
      <c r="Q413" s="135">
        <v>0</v>
      </c>
      <c r="R413" s="136">
        <v>0</v>
      </c>
    </row>
    <row r="414" spans="1:18">
      <c r="A414" s="99" t="s">
        <v>95</v>
      </c>
      <c r="B414" s="94">
        <f t="shared" si="114"/>
        <v>43</v>
      </c>
      <c r="C414" s="95">
        <f t="shared" si="115"/>
        <v>965.95702154168612</v>
      </c>
      <c r="D414" s="96">
        <f t="shared" si="116"/>
        <v>0.19521732693364446</v>
      </c>
      <c r="F414" s="97" t="s">
        <v>95</v>
      </c>
      <c r="G414" s="135">
        <v>16</v>
      </c>
      <c r="H414" s="136">
        <v>829.10876323000002</v>
      </c>
      <c r="I414" s="135">
        <v>6</v>
      </c>
      <c r="J414" s="136">
        <v>124.150235</v>
      </c>
      <c r="K414" s="135">
        <v>0</v>
      </c>
      <c r="L414" s="136">
        <v>0</v>
      </c>
      <c r="M414" s="135">
        <v>0</v>
      </c>
      <c r="N414" s="136">
        <v>0</v>
      </c>
      <c r="O414" s="135">
        <v>21</v>
      </c>
      <c r="P414" s="136">
        <v>12.698023311686189</v>
      </c>
      <c r="Q414" s="135">
        <v>0</v>
      </c>
      <c r="R414" s="136">
        <v>0</v>
      </c>
    </row>
    <row r="415" spans="1:18">
      <c r="A415" s="99" t="s">
        <v>96</v>
      </c>
      <c r="B415" s="94">
        <f t="shared" si="114"/>
        <v>13</v>
      </c>
      <c r="C415" s="95">
        <f t="shared" si="115"/>
        <v>39.875036590000001</v>
      </c>
      <c r="D415" s="96">
        <f t="shared" si="116"/>
        <v>8.0586380976424548E-3</v>
      </c>
      <c r="F415" s="97" t="s">
        <v>96</v>
      </c>
      <c r="G415" s="135">
        <v>2</v>
      </c>
      <c r="H415" s="136">
        <v>33.413695799999999</v>
      </c>
      <c r="I415" s="135">
        <v>0</v>
      </c>
      <c r="J415" s="136">
        <v>0</v>
      </c>
      <c r="K415" s="135">
        <v>0</v>
      </c>
      <c r="L415" s="136">
        <v>0</v>
      </c>
      <c r="M415" s="135">
        <v>0</v>
      </c>
      <c r="N415" s="136">
        <v>0</v>
      </c>
      <c r="O415" s="135">
        <v>11</v>
      </c>
      <c r="P415" s="136">
        <v>6.4613407900000004</v>
      </c>
      <c r="Q415" s="135">
        <v>0</v>
      </c>
      <c r="R415" s="136">
        <v>0</v>
      </c>
    </row>
    <row r="416" spans="1:18">
      <c r="A416" s="99" t="s">
        <v>97</v>
      </c>
      <c r="B416" s="94">
        <f t="shared" si="114"/>
        <v>1</v>
      </c>
      <c r="C416" s="95">
        <f t="shared" si="115"/>
        <v>25.266368905565979</v>
      </c>
      <c r="D416" s="96">
        <f t="shared" si="116"/>
        <v>5.1062654849712502E-3</v>
      </c>
      <c r="F416" s="97" t="s">
        <v>97</v>
      </c>
      <c r="G416" s="135">
        <v>0</v>
      </c>
      <c r="H416" s="136">
        <v>0</v>
      </c>
      <c r="I416" s="135">
        <v>0</v>
      </c>
      <c r="J416" s="136">
        <v>0</v>
      </c>
      <c r="K416" s="135">
        <v>1</v>
      </c>
      <c r="L416" s="136">
        <v>25</v>
      </c>
      <c r="M416" s="135">
        <v>0</v>
      </c>
      <c r="N416" s="136">
        <v>0</v>
      </c>
      <c r="O416" s="135">
        <v>0</v>
      </c>
      <c r="P416" s="136">
        <v>0.26636890556597881</v>
      </c>
      <c r="Q416" s="135">
        <v>0</v>
      </c>
      <c r="R416" s="136">
        <v>0</v>
      </c>
    </row>
    <row r="417" spans="1:18">
      <c r="A417" s="99" t="s">
        <v>98</v>
      </c>
      <c r="B417" s="94">
        <f t="shared" si="114"/>
        <v>3</v>
      </c>
      <c r="C417" s="95">
        <f t="shared" si="115"/>
        <v>16.305620049999998</v>
      </c>
      <c r="D417" s="96">
        <f t="shared" si="116"/>
        <v>3.2953221408094178E-3</v>
      </c>
      <c r="F417" s="97" t="s">
        <v>98</v>
      </c>
      <c r="G417" s="135">
        <v>3</v>
      </c>
      <c r="H417" s="136">
        <v>15.909157049999997</v>
      </c>
      <c r="I417" s="135">
        <v>0</v>
      </c>
      <c r="J417" s="136">
        <v>0</v>
      </c>
      <c r="K417" s="135">
        <v>0</v>
      </c>
      <c r="L417" s="136">
        <v>0</v>
      </c>
      <c r="M417" s="135">
        <v>0</v>
      </c>
      <c r="N417" s="136">
        <v>0</v>
      </c>
      <c r="O417" s="135">
        <v>0</v>
      </c>
      <c r="P417" s="136">
        <v>0.39646300000000001</v>
      </c>
      <c r="Q417" s="135">
        <v>0</v>
      </c>
      <c r="R417" s="136">
        <v>0</v>
      </c>
    </row>
    <row r="418" spans="1:18">
      <c r="A418" s="99" t="s">
        <v>99</v>
      </c>
      <c r="B418" s="94">
        <f t="shared" si="114"/>
        <v>35</v>
      </c>
      <c r="C418" s="95">
        <f t="shared" si="115"/>
        <v>639.66336142965758</v>
      </c>
      <c r="D418" s="96">
        <f t="shared" si="116"/>
        <v>0.12927425213638088</v>
      </c>
      <c r="F418" s="97" t="s">
        <v>99</v>
      </c>
      <c r="G418" s="135">
        <v>5</v>
      </c>
      <c r="H418" s="136">
        <v>595.79999999999995</v>
      </c>
      <c r="I418" s="135">
        <v>2</v>
      </c>
      <c r="J418" s="136">
        <v>25.25</v>
      </c>
      <c r="K418" s="135">
        <v>0</v>
      </c>
      <c r="L418" s="136">
        <v>0</v>
      </c>
      <c r="M418" s="135">
        <v>0</v>
      </c>
      <c r="N418" s="136">
        <v>0</v>
      </c>
      <c r="O418" s="135">
        <v>28</v>
      </c>
      <c r="P418" s="136">
        <v>18.613361429657679</v>
      </c>
      <c r="Q418" s="135">
        <v>0</v>
      </c>
      <c r="R418" s="136">
        <v>0</v>
      </c>
    </row>
    <row r="419" spans="1:18">
      <c r="A419" s="99" t="s">
        <v>100</v>
      </c>
      <c r="B419" s="94">
        <f t="shared" si="114"/>
        <v>85</v>
      </c>
      <c r="C419" s="95">
        <f t="shared" si="115"/>
        <v>2340.0185192600002</v>
      </c>
      <c r="D419" s="96">
        <f t="shared" si="116"/>
        <v>0.47291147547753315</v>
      </c>
      <c r="F419" s="97" t="s">
        <v>100</v>
      </c>
      <c r="G419" s="135">
        <v>43</v>
      </c>
      <c r="H419" s="136">
        <v>2274.7658316500001</v>
      </c>
      <c r="I419" s="135">
        <v>5</v>
      </c>
      <c r="J419" s="136">
        <v>41.325000999999993</v>
      </c>
      <c r="K419" s="135">
        <v>0</v>
      </c>
      <c r="L419" s="136">
        <v>0</v>
      </c>
      <c r="M419" s="135">
        <v>0</v>
      </c>
      <c r="N419" s="136">
        <v>0</v>
      </c>
      <c r="O419" s="135">
        <v>37</v>
      </c>
      <c r="P419" s="136">
        <v>23.927686610000002</v>
      </c>
      <c r="Q419" s="135">
        <v>0</v>
      </c>
      <c r="R419" s="136">
        <v>0</v>
      </c>
    </row>
    <row r="420" spans="1:18">
      <c r="A420" s="99" t="s">
        <v>101</v>
      </c>
      <c r="B420" s="94">
        <f t="shared" si="114"/>
        <v>14</v>
      </c>
      <c r="C420" s="95">
        <f t="shared" si="115"/>
        <v>56.570602178205135</v>
      </c>
      <c r="D420" s="96">
        <f t="shared" si="116"/>
        <v>1.1432767187333111E-2</v>
      </c>
      <c r="F420" s="97" t="s">
        <v>101</v>
      </c>
      <c r="G420" s="135">
        <v>4</v>
      </c>
      <c r="H420" s="136">
        <v>45.875541050000002</v>
      </c>
      <c r="I420" s="135">
        <v>2</v>
      </c>
      <c r="J420" s="136">
        <v>2.54</v>
      </c>
      <c r="K420" s="135">
        <v>0</v>
      </c>
      <c r="L420" s="136">
        <v>0</v>
      </c>
      <c r="M420" s="135">
        <v>0</v>
      </c>
      <c r="N420" s="136">
        <v>0</v>
      </c>
      <c r="O420" s="135">
        <v>8</v>
      </c>
      <c r="P420" s="136">
        <v>8.15506112820513</v>
      </c>
      <c r="Q420" s="135">
        <v>0</v>
      </c>
      <c r="R420" s="136">
        <v>0</v>
      </c>
    </row>
    <row r="421" spans="1:18">
      <c r="A421" s="84" t="s">
        <v>43</v>
      </c>
      <c r="B421" s="85">
        <f>B422+B434</f>
        <v>780</v>
      </c>
      <c r="C421" s="86">
        <f>C422+C434</f>
        <v>31215.718485605033</v>
      </c>
      <c r="D421" s="87">
        <f>D422+D434</f>
        <v>0.99999999999999989</v>
      </c>
      <c r="F421" s="84" t="s">
        <v>43</v>
      </c>
      <c r="G421" s="85">
        <f>SUM(G423:G433)</f>
        <v>274</v>
      </c>
      <c r="H421" s="86">
        <f t="shared" ref="H421:R421" si="117">SUM(H423:H433)</f>
        <v>30480.88133887</v>
      </c>
      <c r="I421" s="85">
        <f t="shared" si="117"/>
        <v>31</v>
      </c>
      <c r="J421" s="86">
        <f t="shared" si="117"/>
        <v>93.61</v>
      </c>
      <c r="K421" s="85">
        <f t="shared" si="117"/>
        <v>1</v>
      </c>
      <c r="L421" s="86">
        <f t="shared" si="117"/>
        <v>25</v>
      </c>
      <c r="M421" s="85">
        <f t="shared" si="117"/>
        <v>4</v>
      </c>
      <c r="N421" s="86">
        <f t="shared" si="117"/>
        <v>172.72982689000003</v>
      </c>
      <c r="O421" s="85">
        <f t="shared" si="117"/>
        <v>426</v>
      </c>
      <c r="P421" s="86">
        <f t="shared" si="117"/>
        <v>352.07515031503493</v>
      </c>
      <c r="Q421" s="85">
        <f t="shared" si="117"/>
        <v>44</v>
      </c>
      <c r="R421" s="86">
        <f t="shared" si="117"/>
        <v>91.422169529999991</v>
      </c>
    </row>
    <row r="422" spans="1:18">
      <c r="A422" s="88" t="s">
        <v>90</v>
      </c>
      <c r="B422" s="89">
        <f>SUM(B423:B433)</f>
        <v>736</v>
      </c>
      <c r="C422" s="90">
        <f>SUM(C423:C433)</f>
        <v>31124.296316075033</v>
      </c>
      <c r="D422" s="91">
        <f>SUM(D423:D433)</f>
        <v>0.99707127774194393</v>
      </c>
      <c r="F422" s="92"/>
      <c r="G422" s="89"/>
      <c r="H422" s="90"/>
      <c r="I422" s="89"/>
      <c r="J422" s="90"/>
      <c r="K422" s="89"/>
      <c r="L422" s="90"/>
      <c r="M422" s="89"/>
      <c r="N422" s="90"/>
      <c r="O422" s="89"/>
      <c r="P422" s="90"/>
      <c r="Q422" s="89"/>
      <c r="R422" s="90"/>
    </row>
    <row r="423" spans="1:18">
      <c r="A423" s="93" t="s">
        <v>91</v>
      </c>
      <c r="B423" s="94">
        <f t="shared" ref="B423:B433" si="118">G423+I423+K423+M423+O423</f>
        <v>173</v>
      </c>
      <c r="C423" s="95">
        <f t="shared" ref="C423:C433" si="119">H423+J423+L423+N423+P423</f>
        <v>2485.2317411200002</v>
      </c>
      <c r="D423" s="96">
        <f>C423/$C$421</f>
        <v>7.9614753774322117E-2</v>
      </c>
      <c r="F423" s="97" t="s">
        <v>91</v>
      </c>
      <c r="G423" s="135">
        <v>61</v>
      </c>
      <c r="H423" s="136">
        <v>2407.76345812</v>
      </c>
      <c r="I423" s="135">
        <v>4</v>
      </c>
      <c r="J423" s="136">
        <v>15.71</v>
      </c>
      <c r="K423" s="135">
        <v>0</v>
      </c>
      <c r="L423" s="136">
        <v>0</v>
      </c>
      <c r="M423" s="135">
        <v>0</v>
      </c>
      <c r="N423" s="136">
        <v>0</v>
      </c>
      <c r="O423" s="135">
        <v>108</v>
      </c>
      <c r="P423" s="136">
        <v>61.758282999999984</v>
      </c>
      <c r="Q423" s="135">
        <v>0</v>
      </c>
      <c r="R423" s="136">
        <v>0</v>
      </c>
    </row>
    <row r="424" spans="1:18">
      <c r="A424" s="93" t="s">
        <v>92</v>
      </c>
      <c r="B424" s="94">
        <f t="shared" si="118"/>
        <v>46</v>
      </c>
      <c r="C424" s="95">
        <f t="shared" si="119"/>
        <v>2658.4721155000002</v>
      </c>
      <c r="D424" s="96">
        <f t="shared" ref="D424:D436" si="120">C424/$C$421</f>
        <v>8.5164533910245921E-2</v>
      </c>
      <c r="F424" s="97" t="s">
        <v>92</v>
      </c>
      <c r="G424" s="135">
        <v>15</v>
      </c>
      <c r="H424" s="136">
        <v>2623.0484455000001</v>
      </c>
      <c r="I424" s="135">
        <v>3</v>
      </c>
      <c r="J424" s="136">
        <v>7</v>
      </c>
      <c r="K424" s="135">
        <v>0</v>
      </c>
      <c r="L424" s="136">
        <v>0</v>
      </c>
      <c r="M424" s="135">
        <v>0</v>
      </c>
      <c r="N424" s="136">
        <v>0</v>
      </c>
      <c r="O424" s="135">
        <v>28</v>
      </c>
      <c r="P424" s="136">
        <v>28.423670000000001</v>
      </c>
      <c r="Q424" s="135">
        <v>0</v>
      </c>
      <c r="R424" s="136">
        <v>0</v>
      </c>
    </row>
    <row r="425" spans="1:18">
      <c r="A425" s="93" t="s">
        <v>93</v>
      </c>
      <c r="B425" s="94">
        <f t="shared" si="118"/>
        <v>78</v>
      </c>
      <c r="C425" s="95">
        <f t="shared" si="119"/>
        <v>3687.8345946922332</v>
      </c>
      <c r="D425" s="96">
        <f t="shared" si="120"/>
        <v>0.11814030794751237</v>
      </c>
      <c r="F425" s="97" t="s">
        <v>93</v>
      </c>
      <c r="G425" s="135">
        <v>35</v>
      </c>
      <c r="H425" s="136">
        <v>3654.6969999999997</v>
      </c>
      <c r="I425" s="135">
        <v>3</v>
      </c>
      <c r="J425" s="136">
        <v>8</v>
      </c>
      <c r="K425" s="135">
        <v>0</v>
      </c>
      <c r="L425" s="136">
        <v>0</v>
      </c>
      <c r="M425" s="135">
        <v>0</v>
      </c>
      <c r="N425" s="136">
        <v>0</v>
      </c>
      <c r="O425" s="135">
        <v>40</v>
      </c>
      <c r="P425" s="136">
        <v>25.137594692233474</v>
      </c>
      <c r="Q425" s="135">
        <v>0</v>
      </c>
      <c r="R425" s="136">
        <v>0</v>
      </c>
    </row>
    <row r="426" spans="1:18">
      <c r="A426" s="93" t="s">
        <v>94</v>
      </c>
      <c r="B426" s="94">
        <f t="shared" si="118"/>
        <v>87</v>
      </c>
      <c r="C426" s="95">
        <f t="shared" si="119"/>
        <v>4186.0710995284207</v>
      </c>
      <c r="D426" s="96">
        <f t="shared" si="120"/>
        <v>0.13410138553942963</v>
      </c>
      <c r="F426" s="97" t="s">
        <v>94</v>
      </c>
      <c r="G426" s="135">
        <v>33</v>
      </c>
      <c r="H426" s="136">
        <v>3938.0967552699999</v>
      </c>
      <c r="I426" s="135">
        <v>4</v>
      </c>
      <c r="J426" s="136">
        <v>6.7</v>
      </c>
      <c r="K426" s="135">
        <v>1</v>
      </c>
      <c r="L426" s="136">
        <v>25</v>
      </c>
      <c r="M426" s="135">
        <v>4</v>
      </c>
      <c r="N426" s="136">
        <v>172.72982689000003</v>
      </c>
      <c r="O426" s="135">
        <v>45</v>
      </c>
      <c r="P426" s="136">
        <v>43.544517368421047</v>
      </c>
      <c r="Q426" s="135">
        <v>24</v>
      </c>
      <c r="R426" s="136">
        <v>45.711084764999995</v>
      </c>
    </row>
    <row r="427" spans="1:18">
      <c r="A427" s="93" t="s">
        <v>95</v>
      </c>
      <c r="B427" s="94">
        <f t="shared" si="118"/>
        <v>32</v>
      </c>
      <c r="C427" s="95">
        <f t="shared" si="119"/>
        <v>1759.2208611609601</v>
      </c>
      <c r="D427" s="96">
        <f t="shared" si="120"/>
        <v>5.635689154398979E-2</v>
      </c>
      <c r="F427" s="97" t="s">
        <v>95</v>
      </c>
      <c r="G427" s="135">
        <v>11</v>
      </c>
      <c r="H427" s="136">
        <v>1738.95974245</v>
      </c>
      <c r="I427" s="135">
        <v>3</v>
      </c>
      <c r="J427" s="136">
        <v>4.4000000000000004</v>
      </c>
      <c r="K427" s="135">
        <v>0</v>
      </c>
      <c r="L427" s="136">
        <v>0</v>
      </c>
      <c r="M427" s="135">
        <v>0</v>
      </c>
      <c r="N427" s="136">
        <v>0</v>
      </c>
      <c r="O427" s="135">
        <v>18</v>
      </c>
      <c r="P427" s="136">
        <v>15.861118710959959</v>
      </c>
      <c r="Q427" s="135">
        <v>0</v>
      </c>
      <c r="R427" s="136">
        <v>0</v>
      </c>
    </row>
    <row r="428" spans="1:18">
      <c r="A428" s="93" t="s">
        <v>96</v>
      </c>
      <c r="B428" s="94">
        <f t="shared" si="118"/>
        <v>34</v>
      </c>
      <c r="C428" s="95">
        <f t="shared" si="119"/>
        <v>592.81645218000006</v>
      </c>
      <c r="D428" s="96">
        <f t="shared" si="120"/>
        <v>1.8990959713241079E-2</v>
      </c>
      <c r="F428" s="97" t="s">
        <v>96</v>
      </c>
      <c r="G428" s="135">
        <v>13</v>
      </c>
      <c r="H428" s="136">
        <v>571.74951518</v>
      </c>
      <c r="I428" s="135">
        <v>1</v>
      </c>
      <c r="J428" s="136">
        <v>0.7</v>
      </c>
      <c r="K428" s="135">
        <v>0</v>
      </c>
      <c r="L428" s="136">
        <v>0</v>
      </c>
      <c r="M428" s="135">
        <v>0</v>
      </c>
      <c r="N428" s="136">
        <v>0</v>
      </c>
      <c r="O428" s="135">
        <v>20</v>
      </c>
      <c r="P428" s="136">
        <v>20.366937000000004</v>
      </c>
      <c r="Q428" s="135">
        <v>20</v>
      </c>
      <c r="R428" s="136">
        <v>45.711084764999995</v>
      </c>
    </row>
    <row r="429" spans="1:18">
      <c r="A429" s="93" t="s">
        <v>97</v>
      </c>
      <c r="B429" s="94">
        <f t="shared" si="118"/>
        <v>2</v>
      </c>
      <c r="C429" s="95">
        <f t="shared" si="119"/>
        <v>26.550786341463414</v>
      </c>
      <c r="D429" s="96">
        <f t="shared" si="120"/>
        <v>8.5055823250415239E-4</v>
      </c>
      <c r="F429" s="97" t="s">
        <v>97</v>
      </c>
      <c r="G429" s="135">
        <v>2</v>
      </c>
      <c r="H429" s="136">
        <v>25</v>
      </c>
      <c r="I429" s="135">
        <v>0</v>
      </c>
      <c r="J429" s="136">
        <v>0</v>
      </c>
      <c r="K429" s="135">
        <v>0</v>
      </c>
      <c r="L429" s="136">
        <v>0</v>
      </c>
      <c r="M429" s="135">
        <v>0</v>
      </c>
      <c r="N429" s="136">
        <v>0</v>
      </c>
      <c r="O429" s="135">
        <v>0</v>
      </c>
      <c r="P429" s="136">
        <v>1.5507863414634147</v>
      </c>
      <c r="Q429" s="135">
        <v>0</v>
      </c>
      <c r="R429" s="136">
        <v>0</v>
      </c>
    </row>
    <row r="430" spans="1:18">
      <c r="A430" s="93" t="s">
        <v>98</v>
      </c>
      <c r="B430" s="94">
        <f t="shared" si="118"/>
        <v>21</v>
      </c>
      <c r="C430" s="95">
        <f t="shared" si="119"/>
        <v>334.38743247999992</v>
      </c>
      <c r="D430" s="96">
        <f t="shared" si="120"/>
        <v>1.0712149157617529E-2</v>
      </c>
      <c r="F430" s="97" t="s">
        <v>98</v>
      </c>
      <c r="G430" s="135">
        <v>7</v>
      </c>
      <c r="H430" s="136">
        <v>302.17096947999994</v>
      </c>
      <c r="I430" s="135">
        <v>3</v>
      </c>
      <c r="J430" s="136">
        <v>24.5</v>
      </c>
      <c r="K430" s="135">
        <v>0</v>
      </c>
      <c r="L430" s="136">
        <v>0</v>
      </c>
      <c r="M430" s="135">
        <v>0</v>
      </c>
      <c r="N430" s="136">
        <v>0</v>
      </c>
      <c r="O430" s="135">
        <v>11</v>
      </c>
      <c r="P430" s="136">
        <v>7.7164630000000001</v>
      </c>
      <c r="Q430" s="135">
        <v>0</v>
      </c>
      <c r="R430" s="136">
        <v>0</v>
      </c>
    </row>
    <row r="431" spans="1:18">
      <c r="A431" s="93" t="s">
        <v>99</v>
      </c>
      <c r="B431" s="94">
        <f t="shared" si="118"/>
        <v>99</v>
      </c>
      <c r="C431" s="95">
        <f t="shared" si="119"/>
        <v>8397.5684875137522</v>
      </c>
      <c r="D431" s="96">
        <f t="shared" si="120"/>
        <v>0.2690173058610279</v>
      </c>
      <c r="F431" s="97" t="s">
        <v>99</v>
      </c>
      <c r="G431" s="135">
        <v>29</v>
      </c>
      <c r="H431" s="136">
        <v>8300.3138284400011</v>
      </c>
      <c r="I431" s="135">
        <v>6</v>
      </c>
      <c r="J431" s="136">
        <v>19</v>
      </c>
      <c r="K431" s="135">
        <v>0</v>
      </c>
      <c r="L431" s="136">
        <v>0</v>
      </c>
      <c r="M431" s="135">
        <v>0</v>
      </c>
      <c r="N431" s="136">
        <v>0</v>
      </c>
      <c r="O431" s="135">
        <v>64</v>
      </c>
      <c r="P431" s="136">
        <v>78.254659073751867</v>
      </c>
      <c r="Q431" s="135">
        <v>0</v>
      </c>
      <c r="R431" s="136">
        <v>0</v>
      </c>
    </row>
    <row r="432" spans="1:18">
      <c r="A432" s="93" t="s">
        <v>100</v>
      </c>
      <c r="B432" s="94">
        <f t="shared" si="118"/>
        <v>89</v>
      </c>
      <c r="C432" s="95">
        <f t="shared" si="119"/>
        <v>5608.4206962799999</v>
      </c>
      <c r="D432" s="96">
        <f t="shared" si="120"/>
        <v>0.17966655801519654</v>
      </c>
      <c r="F432" s="97" t="s">
        <v>100</v>
      </c>
      <c r="G432" s="135">
        <v>38</v>
      </c>
      <c r="H432" s="136">
        <v>5569.4719212800001</v>
      </c>
      <c r="I432" s="135">
        <v>0</v>
      </c>
      <c r="J432" s="136">
        <v>0</v>
      </c>
      <c r="K432" s="135">
        <v>0</v>
      </c>
      <c r="L432" s="136">
        <v>0</v>
      </c>
      <c r="M432" s="135">
        <v>0</v>
      </c>
      <c r="N432" s="136">
        <v>0</v>
      </c>
      <c r="O432" s="135">
        <v>51</v>
      </c>
      <c r="P432" s="136">
        <v>38.948775000000005</v>
      </c>
      <c r="Q432" s="135">
        <v>0</v>
      </c>
      <c r="R432" s="136">
        <v>0</v>
      </c>
    </row>
    <row r="433" spans="1:18">
      <c r="A433" s="93" t="s">
        <v>101</v>
      </c>
      <c r="B433" s="94">
        <f t="shared" si="118"/>
        <v>75</v>
      </c>
      <c r="C433" s="95">
        <f t="shared" si="119"/>
        <v>1387.7220492782048</v>
      </c>
      <c r="D433" s="96">
        <f t="shared" si="120"/>
        <v>4.4455874046857059E-2</v>
      </c>
      <c r="F433" s="97" t="s">
        <v>101</v>
      </c>
      <c r="G433" s="135">
        <v>30</v>
      </c>
      <c r="H433" s="136">
        <v>1349.6097031499999</v>
      </c>
      <c r="I433" s="135">
        <v>4</v>
      </c>
      <c r="J433" s="136">
        <v>7.6</v>
      </c>
      <c r="K433" s="135">
        <v>0</v>
      </c>
      <c r="L433" s="136">
        <v>0</v>
      </c>
      <c r="M433" s="135">
        <v>0</v>
      </c>
      <c r="N433" s="136">
        <v>0</v>
      </c>
      <c r="O433" s="135">
        <v>41</v>
      </c>
      <c r="P433" s="136">
        <v>30.512346128205124</v>
      </c>
      <c r="Q433" s="135">
        <v>0</v>
      </c>
      <c r="R433" s="136">
        <v>0</v>
      </c>
    </row>
    <row r="434" spans="1:18" ht="17.25">
      <c r="A434" s="88" t="s">
        <v>111</v>
      </c>
      <c r="B434" s="89">
        <f>SUM(B435:B436)</f>
        <v>44</v>
      </c>
      <c r="C434" s="90">
        <f>SUM(C435:C436)</f>
        <v>91.422169529999991</v>
      </c>
      <c r="D434" s="91">
        <f>SUM(D435:D436)</f>
        <v>2.9287222580559485E-3</v>
      </c>
      <c r="E434" s="123"/>
      <c r="F434" s="97"/>
      <c r="G434" s="135"/>
      <c r="H434" s="136"/>
      <c r="I434" s="135"/>
      <c r="J434" s="136"/>
      <c r="K434" s="135"/>
      <c r="L434" s="136"/>
      <c r="M434" s="135"/>
      <c r="N434" s="136"/>
      <c r="O434" s="135"/>
      <c r="P434" s="136"/>
      <c r="Q434" s="135"/>
      <c r="R434" s="136"/>
    </row>
    <row r="435" spans="1:18">
      <c r="A435" s="93" t="s">
        <v>94</v>
      </c>
      <c r="B435" s="94">
        <f>Q426</f>
        <v>24</v>
      </c>
      <c r="C435" s="95">
        <f>R426</f>
        <v>45.711084764999995</v>
      </c>
      <c r="D435" s="96">
        <f t="shared" si="120"/>
        <v>1.4643611290279742E-3</v>
      </c>
      <c r="F435" s="97"/>
      <c r="G435" s="135"/>
      <c r="H435" s="136"/>
      <c r="I435" s="135"/>
      <c r="J435" s="136"/>
      <c r="K435" s="135"/>
      <c r="L435" s="136"/>
      <c r="M435" s="135"/>
      <c r="N435" s="136"/>
      <c r="O435" s="135"/>
      <c r="P435" s="136"/>
      <c r="Q435" s="135"/>
      <c r="R435" s="136"/>
    </row>
    <row r="436" spans="1:18">
      <c r="A436" s="93" t="s">
        <v>96</v>
      </c>
      <c r="B436" s="94">
        <f>Q428</f>
        <v>20</v>
      </c>
      <c r="C436" s="95">
        <f>R428</f>
        <v>45.711084764999995</v>
      </c>
      <c r="D436" s="96">
        <f t="shared" si="120"/>
        <v>1.4643611290279742E-3</v>
      </c>
      <c r="F436" s="97"/>
      <c r="G436" s="135"/>
      <c r="H436" s="136"/>
      <c r="I436" s="135"/>
      <c r="J436" s="136"/>
      <c r="K436" s="135"/>
      <c r="L436" s="136"/>
      <c r="M436" s="135"/>
      <c r="N436" s="136"/>
      <c r="O436" s="135"/>
      <c r="P436" s="136"/>
      <c r="Q436" s="135"/>
      <c r="R436" s="136"/>
    </row>
    <row r="437" spans="1:18">
      <c r="A437" s="84" t="s">
        <v>44</v>
      </c>
      <c r="B437" s="85">
        <f>B438+B450</f>
        <v>189</v>
      </c>
      <c r="C437" s="86">
        <f>C438+C450</f>
        <v>536.33468535519603</v>
      </c>
      <c r="D437" s="87">
        <f>D438+D450</f>
        <v>1.0000000000000002</v>
      </c>
      <c r="F437" s="84" t="s">
        <v>44</v>
      </c>
      <c r="G437" s="85">
        <f>SUM(G438:G449)</f>
        <v>37</v>
      </c>
      <c r="H437" s="86">
        <f t="shared" ref="H437:R437" si="121">SUM(H438:H449)</f>
        <v>190.8804983</v>
      </c>
      <c r="I437" s="85">
        <f t="shared" si="121"/>
        <v>30</v>
      </c>
      <c r="J437" s="86">
        <f t="shared" si="121"/>
        <v>296.38</v>
      </c>
      <c r="K437" s="85">
        <f t="shared" si="121"/>
        <v>0</v>
      </c>
      <c r="L437" s="86">
        <f t="shared" si="121"/>
        <v>0</v>
      </c>
      <c r="M437" s="85">
        <f t="shared" si="121"/>
        <v>0</v>
      </c>
      <c r="N437" s="86">
        <f t="shared" si="121"/>
        <v>0</v>
      </c>
      <c r="O437" s="85">
        <f t="shared" si="121"/>
        <v>93</v>
      </c>
      <c r="P437" s="86">
        <f t="shared" si="121"/>
        <v>48.332992765196153</v>
      </c>
      <c r="Q437" s="85">
        <f t="shared" si="121"/>
        <v>29</v>
      </c>
      <c r="R437" s="86">
        <f t="shared" si="121"/>
        <v>0.74119429000000014</v>
      </c>
    </row>
    <row r="438" spans="1:18">
      <c r="A438" s="88" t="s">
        <v>90</v>
      </c>
      <c r="B438" s="89">
        <f>SUM(B439:B449)</f>
        <v>160</v>
      </c>
      <c r="C438" s="90">
        <f>SUM(C439:C449)</f>
        <v>535.59349106519608</v>
      </c>
      <c r="D438" s="91">
        <f>SUM(D439:D449)</f>
        <v>0.99861803774725288</v>
      </c>
      <c r="F438" s="92"/>
      <c r="G438" s="89"/>
      <c r="H438" s="90"/>
      <c r="I438" s="89"/>
      <c r="J438" s="90"/>
      <c r="K438" s="89"/>
      <c r="L438" s="90"/>
      <c r="M438" s="89"/>
      <c r="N438" s="90"/>
      <c r="O438" s="89"/>
      <c r="P438" s="90"/>
      <c r="Q438" s="89"/>
      <c r="R438" s="90"/>
    </row>
    <row r="439" spans="1:18">
      <c r="A439" s="93" t="s">
        <v>91</v>
      </c>
      <c r="B439" s="94">
        <f t="shared" ref="B439:B449" si="122">G439+I439+K439+M439+O439</f>
        <v>26</v>
      </c>
      <c r="C439" s="95">
        <f t="shared" ref="C439:C449" si="123">H439+J439+L439+N439+P439</f>
        <v>42.305536529999998</v>
      </c>
      <c r="D439" s="96">
        <f>C439/$C$437</f>
        <v>7.8878986731918135E-2</v>
      </c>
      <c r="F439" s="97" t="s">
        <v>91</v>
      </c>
      <c r="G439" s="135">
        <v>8</v>
      </c>
      <c r="H439" s="136">
        <v>33.064036529999996</v>
      </c>
      <c r="I439" s="135">
        <v>2</v>
      </c>
      <c r="J439" s="136">
        <v>5.75</v>
      </c>
      <c r="K439" s="135">
        <v>0</v>
      </c>
      <c r="L439" s="136">
        <v>0</v>
      </c>
      <c r="M439" s="135">
        <v>0</v>
      </c>
      <c r="N439" s="136">
        <v>0</v>
      </c>
      <c r="O439" s="135">
        <v>16</v>
      </c>
      <c r="P439" s="136">
        <v>3.4914999999999998</v>
      </c>
      <c r="Q439" s="135">
        <v>0</v>
      </c>
      <c r="R439" s="136">
        <v>0</v>
      </c>
    </row>
    <row r="440" spans="1:18">
      <c r="A440" s="93" t="s">
        <v>92</v>
      </c>
      <c r="B440" s="94">
        <f t="shared" si="122"/>
        <v>10</v>
      </c>
      <c r="C440" s="95">
        <f t="shared" si="123"/>
        <v>36.381127172857141</v>
      </c>
      <c r="D440" s="96">
        <f t="shared" ref="D440:D449" si="124">C440/$C$437</f>
        <v>6.7832881531357928E-2</v>
      </c>
      <c r="F440" s="97" t="s">
        <v>92</v>
      </c>
      <c r="G440" s="135">
        <v>2</v>
      </c>
      <c r="H440" s="136">
        <v>15.244042050000001</v>
      </c>
      <c r="I440" s="135">
        <v>2</v>
      </c>
      <c r="J440" s="136">
        <v>17.2</v>
      </c>
      <c r="K440" s="135">
        <v>0</v>
      </c>
      <c r="L440" s="136">
        <v>0</v>
      </c>
      <c r="M440" s="135">
        <v>0</v>
      </c>
      <c r="N440" s="136">
        <v>0</v>
      </c>
      <c r="O440" s="135">
        <v>6</v>
      </c>
      <c r="P440" s="136">
        <v>3.9370851228571428</v>
      </c>
      <c r="Q440" s="135">
        <v>0</v>
      </c>
      <c r="R440" s="136">
        <v>0</v>
      </c>
    </row>
    <row r="441" spans="1:18">
      <c r="A441" s="93" t="s">
        <v>93</v>
      </c>
      <c r="B441" s="94">
        <f t="shared" si="122"/>
        <v>34</v>
      </c>
      <c r="C441" s="95">
        <f t="shared" si="123"/>
        <v>108.63710026937633</v>
      </c>
      <c r="D441" s="96">
        <f t="shared" si="124"/>
        <v>0.20255467944876568</v>
      </c>
      <c r="F441" s="97" t="s">
        <v>93</v>
      </c>
      <c r="G441" s="135">
        <v>9</v>
      </c>
      <c r="H441" s="136">
        <v>49.970244170000001</v>
      </c>
      <c r="I441" s="135">
        <v>7</v>
      </c>
      <c r="J441" s="136">
        <v>50.150000000000006</v>
      </c>
      <c r="K441" s="135">
        <v>0</v>
      </c>
      <c r="L441" s="136">
        <v>0</v>
      </c>
      <c r="M441" s="135">
        <v>0</v>
      </c>
      <c r="N441" s="136">
        <v>0</v>
      </c>
      <c r="O441" s="135">
        <v>18</v>
      </c>
      <c r="P441" s="136">
        <v>8.5168560993763265</v>
      </c>
      <c r="Q441" s="135">
        <v>0</v>
      </c>
      <c r="R441" s="136">
        <v>0</v>
      </c>
    </row>
    <row r="442" spans="1:18">
      <c r="A442" s="93" t="s">
        <v>94</v>
      </c>
      <c r="B442" s="94">
        <f t="shared" si="122"/>
        <v>16</v>
      </c>
      <c r="C442" s="95">
        <f t="shared" si="123"/>
        <v>31.442813080303026</v>
      </c>
      <c r="D442" s="96">
        <f t="shared" si="124"/>
        <v>5.8625358267626361E-2</v>
      </c>
      <c r="F442" s="97" t="s">
        <v>94</v>
      </c>
      <c r="G442" s="135">
        <v>6</v>
      </c>
      <c r="H442" s="136">
        <v>23.439346069999999</v>
      </c>
      <c r="I442" s="135">
        <v>0</v>
      </c>
      <c r="J442" s="136">
        <v>0</v>
      </c>
      <c r="K442" s="135">
        <v>0</v>
      </c>
      <c r="L442" s="136">
        <v>0</v>
      </c>
      <c r="M442" s="135">
        <v>0</v>
      </c>
      <c r="N442" s="136">
        <v>0</v>
      </c>
      <c r="O442" s="135">
        <v>10</v>
      </c>
      <c r="P442" s="136">
        <v>8.0034670103030283</v>
      </c>
      <c r="Q442" s="135">
        <v>19</v>
      </c>
      <c r="R442" s="136">
        <v>0.45248027500000004</v>
      </c>
    </row>
    <row r="443" spans="1:18">
      <c r="A443" s="93" t="s">
        <v>95</v>
      </c>
      <c r="B443" s="94">
        <f t="shared" si="122"/>
        <v>3</v>
      </c>
      <c r="C443" s="95">
        <f t="shared" si="123"/>
        <v>19.171467883635923</v>
      </c>
      <c r="D443" s="96">
        <f t="shared" si="124"/>
        <v>3.5745344105312375E-2</v>
      </c>
      <c r="F443" s="97" t="s">
        <v>95</v>
      </c>
      <c r="G443" s="135">
        <v>0</v>
      </c>
      <c r="H443" s="136">
        <v>0</v>
      </c>
      <c r="I443" s="135">
        <v>3</v>
      </c>
      <c r="J443" s="136">
        <v>17</v>
      </c>
      <c r="K443" s="135">
        <v>0</v>
      </c>
      <c r="L443" s="136">
        <v>0</v>
      </c>
      <c r="M443" s="135">
        <v>0</v>
      </c>
      <c r="N443" s="136">
        <v>0</v>
      </c>
      <c r="O443" s="135">
        <v>0</v>
      </c>
      <c r="P443" s="136">
        <v>2.1714678836359242</v>
      </c>
      <c r="Q443" s="135">
        <v>0</v>
      </c>
      <c r="R443" s="136">
        <v>0</v>
      </c>
    </row>
    <row r="444" spans="1:18">
      <c r="A444" s="93" t="s">
        <v>96</v>
      </c>
      <c r="B444" s="94">
        <f t="shared" si="122"/>
        <v>4</v>
      </c>
      <c r="C444" s="95">
        <f t="shared" si="123"/>
        <v>5.1391593499999999</v>
      </c>
      <c r="D444" s="96">
        <f t="shared" si="124"/>
        <v>9.5820007363434101E-3</v>
      </c>
      <c r="F444" s="97" t="s">
        <v>96</v>
      </c>
      <c r="G444" s="135">
        <v>1</v>
      </c>
      <c r="H444" s="136">
        <v>3.4858185600000002</v>
      </c>
      <c r="I444" s="135">
        <v>0</v>
      </c>
      <c r="J444" s="136">
        <v>0</v>
      </c>
      <c r="K444" s="135">
        <v>0</v>
      </c>
      <c r="L444" s="136">
        <v>0</v>
      </c>
      <c r="M444" s="135">
        <v>0</v>
      </c>
      <c r="N444" s="136">
        <v>0</v>
      </c>
      <c r="O444" s="135">
        <v>3</v>
      </c>
      <c r="P444" s="136">
        <v>1.6533407900000001</v>
      </c>
      <c r="Q444" s="135">
        <v>10</v>
      </c>
      <c r="R444" s="136">
        <v>0.28871401500000005</v>
      </c>
    </row>
    <row r="445" spans="1:18">
      <c r="A445" s="93" t="s">
        <v>97</v>
      </c>
      <c r="B445" s="94">
        <f t="shared" si="122"/>
        <v>2</v>
      </c>
      <c r="C445" s="95">
        <f t="shared" si="123"/>
        <v>31.166368905565978</v>
      </c>
      <c r="D445" s="96">
        <f t="shared" si="124"/>
        <v>5.8109926052844339E-2</v>
      </c>
      <c r="F445" s="97" t="s">
        <v>97</v>
      </c>
      <c r="G445" s="135">
        <v>0</v>
      </c>
      <c r="H445" s="136">
        <v>0</v>
      </c>
      <c r="I445" s="135">
        <v>2</v>
      </c>
      <c r="J445" s="136">
        <v>30.9</v>
      </c>
      <c r="K445" s="135">
        <v>0</v>
      </c>
      <c r="L445" s="136">
        <v>0</v>
      </c>
      <c r="M445" s="135">
        <v>0</v>
      </c>
      <c r="N445" s="136">
        <v>0</v>
      </c>
      <c r="O445" s="135">
        <v>0</v>
      </c>
      <c r="P445" s="136">
        <v>0.26636890556597881</v>
      </c>
      <c r="Q445" s="135">
        <v>0</v>
      </c>
      <c r="R445" s="136">
        <v>0</v>
      </c>
    </row>
    <row r="446" spans="1:18">
      <c r="A446" s="93" t="s">
        <v>98</v>
      </c>
      <c r="B446" s="94">
        <f t="shared" si="122"/>
        <v>8</v>
      </c>
      <c r="C446" s="95">
        <f t="shared" si="123"/>
        <v>41.406608699999992</v>
      </c>
      <c r="D446" s="96">
        <f t="shared" si="124"/>
        <v>7.7202929123589725E-2</v>
      </c>
      <c r="F446" s="97" t="s">
        <v>98</v>
      </c>
      <c r="G446" s="135">
        <v>4</v>
      </c>
      <c r="H446" s="136">
        <v>39.201614699999993</v>
      </c>
      <c r="I446" s="135">
        <v>1</v>
      </c>
      <c r="J446" s="136">
        <v>1</v>
      </c>
      <c r="K446" s="135">
        <v>0</v>
      </c>
      <c r="L446" s="136">
        <v>0</v>
      </c>
      <c r="M446" s="135">
        <v>0</v>
      </c>
      <c r="N446" s="136">
        <v>0</v>
      </c>
      <c r="O446" s="135">
        <v>3</v>
      </c>
      <c r="P446" s="136">
        <v>1.2049940000000001</v>
      </c>
      <c r="Q446" s="135">
        <v>0</v>
      </c>
      <c r="R446" s="136">
        <v>0</v>
      </c>
    </row>
    <row r="447" spans="1:18">
      <c r="A447" s="93" t="s">
        <v>99</v>
      </c>
      <c r="B447" s="94">
        <f t="shared" si="122"/>
        <v>35</v>
      </c>
      <c r="C447" s="95">
        <f t="shared" si="123"/>
        <v>75.507021215252621</v>
      </c>
      <c r="D447" s="96">
        <f t="shared" si="124"/>
        <v>0.1407834012548469</v>
      </c>
      <c r="F447" s="97" t="s">
        <v>99</v>
      </c>
      <c r="G447" s="135">
        <v>1</v>
      </c>
      <c r="H447" s="136">
        <v>3.1</v>
      </c>
      <c r="I447" s="135">
        <v>7</v>
      </c>
      <c r="J447" s="136">
        <v>59.9</v>
      </c>
      <c r="K447" s="135">
        <v>0</v>
      </c>
      <c r="L447" s="136">
        <v>0</v>
      </c>
      <c r="M447" s="135">
        <v>0</v>
      </c>
      <c r="N447" s="136">
        <v>0</v>
      </c>
      <c r="O447" s="135">
        <v>27</v>
      </c>
      <c r="P447" s="136">
        <v>12.507021215252628</v>
      </c>
      <c r="Q447" s="135">
        <v>0</v>
      </c>
      <c r="R447" s="136">
        <v>0</v>
      </c>
    </row>
    <row r="448" spans="1:18">
      <c r="A448" s="93" t="s">
        <v>100</v>
      </c>
      <c r="B448" s="94">
        <f t="shared" si="122"/>
        <v>12</v>
      </c>
      <c r="C448" s="95">
        <f t="shared" si="123"/>
        <v>125.73475704999998</v>
      </c>
      <c r="D448" s="96">
        <f t="shared" si="124"/>
        <v>0.23443338736656605</v>
      </c>
      <c r="F448" s="97" t="s">
        <v>100</v>
      </c>
      <c r="G448" s="135">
        <v>4</v>
      </c>
      <c r="H448" s="136">
        <v>12.534070440000001</v>
      </c>
      <c r="I448" s="135">
        <v>4</v>
      </c>
      <c r="J448" s="136">
        <v>110.25999999999999</v>
      </c>
      <c r="K448" s="135">
        <v>0</v>
      </c>
      <c r="L448" s="136">
        <v>0</v>
      </c>
      <c r="M448" s="135">
        <v>0</v>
      </c>
      <c r="N448" s="136">
        <v>0</v>
      </c>
      <c r="O448" s="135">
        <v>4</v>
      </c>
      <c r="P448" s="136">
        <v>2.9406866100000002</v>
      </c>
      <c r="Q448" s="135">
        <v>0</v>
      </c>
      <c r="R448" s="136">
        <v>0</v>
      </c>
    </row>
    <row r="449" spans="1:18">
      <c r="A449" s="93" t="s">
        <v>101</v>
      </c>
      <c r="B449" s="94">
        <f t="shared" si="122"/>
        <v>10</v>
      </c>
      <c r="C449" s="95">
        <f t="shared" si="123"/>
        <v>18.701530908205129</v>
      </c>
      <c r="D449" s="96">
        <f t="shared" si="124"/>
        <v>3.4869143128081953E-2</v>
      </c>
      <c r="F449" s="97" t="s">
        <v>101</v>
      </c>
      <c r="G449" s="135">
        <v>2</v>
      </c>
      <c r="H449" s="136">
        <v>10.841325780000002</v>
      </c>
      <c r="I449" s="135">
        <v>2</v>
      </c>
      <c r="J449" s="136">
        <v>4.2200000000000006</v>
      </c>
      <c r="K449" s="135">
        <v>0</v>
      </c>
      <c r="L449" s="136">
        <v>0</v>
      </c>
      <c r="M449" s="135">
        <v>0</v>
      </c>
      <c r="N449" s="136">
        <v>0</v>
      </c>
      <c r="O449" s="135">
        <v>6</v>
      </c>
      <c r="P449" s="136">
        <v>3.6402051282051278</v>
      </c>
      <c r="Q449" s="135">
        <v>0</v>
      </c>
      <c r="R449" s="136">
        <v>0</v>
      </c>
    </row>
    <row r="450" spans="1:18" ht="17.25">
      <c r="A450" s="104" t="s">
        <v>102</v>
      </c>
      <c r="B450" s="89">
        <f>SUM(B451:B452)</f>
        <v>29</v>
      </c>
      <c r="C450" s="90">
        <f>SUM(C451:C452)</f>
        <v>0.74119429000000014</v>
      </c>
      <c r="D450" s="91">
        <f>SUM(D451:D452)</f>
        <v>1.3819622527473355E-3</v>
      </c>
      <c r="E450" s="123"/>
      <c r="F450" s="97"/>
      <c r="G450" s="135"/>
      <c r="H450" s="136"/>
      <c r="I450" s="135"/>
      <c r="J450" s="136"/>
      <c r="K450" s="135"/>
      <c r="L450" s="136"/>
      <c r="M450" s="135"/>
      <c r="N450" s="136"/>
      <c r="O450" s="135"/>
      <c r="P450" s="136"/>
      <c r="Q450" s="135"/>
      <c r="R450" s="136"/>
    </row>
    <row r="451" spans="1:18">
      <c r="A451" s="93" t="s">
        <v>94</v>
      </c>
      <c r="B451" s="94">
        <f>Q442</f>
        <v>19</v>
      </c>
      <c r="C451" s="95">
        <f>R442</f>
        <v>0.45248027500000004</v>
      </c>
      <c r="D451" s="96">
        <f>C451/$C$437</f>
        <v>8.4365282976307581E-4</v>
      </c>
      <c r="F451" s="97"/>
      <c r="G451" s="135"/>
      <c r="H451" s="136"/>
      <c r="I451" s="135"/>
      <c r="J451" s="136"/>
      <c r="K451" s="135"/>
      <c r="L451" s="136"/>
      <c r="M451" s="135"/>
      <c r="N451" s="136"/>
      <c r="O451" s="135"/>
      <c r="P451" s="136"/>
      <c r="Q451" s="135"/>
      <c r="R451" s="136"/>
    </row>
    <row r="452" spans="1:18">
      <c r="A452" s="93" t="s">
        <v>96</v>
      </c>
      <c r="B452" s="94">
        <f>Q444</f>
        <v>10</v>
      </c>
      <c r="C452" s="95">
        <f>R444</f>
        <v>0.28871401500000005</v>
      </c>
      <c r="D452" s="96">
        <f>C452/$C$437</f>
        <v>5.3830942298425965E-4</v>
      </c>
      <c r="F452" s="97"/>
      <c r="G452" s="135"/>
      <c r="H452" s="136"/>
      <c r="I452" s="135"/>
      <c r="J452" s="136"/>
      <c r="K452" s="135"/>
      <c r="L452" s="136"/>
      <c r="M452" s="135"/>
      <c r="N452" s="136"/>
      <c r="O452" s="135"/>
      <c r="P452" s="136"/>
      <c r="Q452" s="135"/>
      <c r="R452" s="136"/>
    </row>
    <row r="453" spans="1:18">
      <c r="A453" s="84" t="s">
        <v>112</v>
      </c>
      <c r="B453" s="85">
        <f>SUM(B454:B460)</f>
        <v>16</v>
      </c>
      <c r="C453" s="86">
        <f>SUM(C454:C460)</f>
        <v>182.00742</v>
      </c>
      <c r="D453" s="87">
        <f>SUM(D454:D460)</f>
        <v>1.0000000000000002</v>
      </c>
      <c r="F453" s="84" t="s">
        <v>112</v>
      </c>
      <c r="G453" s="85">
        <f>SUM(G454:G460)</f>
        <v>14</v>
      </c>
      <c r="H453" s="86">
        <f t="shared" ref="H453:R453" si="125">SUM(H454:H460)</f>
        <v>181.07999999999998</v>
      </c>
      <c r="I453" s="85">
        <f t="shared" si="125"/>
        <v>0</v>
      </c>
      <c r="J453" s="86">
        <f t="shared" si="125"/>
        <v>0</v>
      </c>
      <c r="K453" s="85">
        <f t="shared" si="125"/>
        <v>0</v>
      </c>
      <c r="L453" s="86">
        <f t="shared" si="125"/>
        <v>0</v>
      </c>
      <c r="M453" s="85">
        <f t="shared" si="125"/>
        <v>0</v>
      </c>
      <c r="N453" s="86">
        <f t="shared" si="125"/>
        <v>0</v>
      </c>
      <c r="O453" s="85">
        <f t="shared" si="125"/>
        <v>2</v>
      </c>
      <c r="P453" s="86">
        <f t="shared" si="125"/>
        <v>0.92741999999999991</v>
      </c>
      <c r="Q453" s="85">
        <f t="shared" si="125"/>
        <v>0</v>
      </c>
      <c r="R453" s="86">
        <f t="shared" si="125"/>
        <v>0</v>
      </c>
    </row>
    <row r="454" spans="1:18">
      <c r="A454" s="99" t="s">
        <v>92</v>
      </c>
      <c r="B454" s="94">
        <f t="shared" ref="B454:C460" si="126">G454+I454+K454+M454+O454</f>
        <v>3</v>
      </c>
      <c r="C454" s="95">
        <f t="shared" si="126"/>
        <v>22.542719999999999</v>
      </c>
      <c r="D454" s="96">
        <f t="shared" ref="D454:D460" si="127">C454/$C$453</f>
        <v>0.12385604938523935</v>
      </c>
      <c r="F454" s="97" t="s">
        <v>92</v>
      </c>
      <c r="G454" s="135">
        <v>2</v>
      </c>
      <c r="H454" s="136">
        <v>22</v>
      </c>
      <c r="I454" s="135">
        <v>0</v>
      </c>
      <c r="J454" s="136">
        <v>0</v>
      </c>
      <c r="K454" s="135">
        <v>0</v>
      </c>
      <c r="L454" s="136">
        <v>0</v>
      </c>
      <c r="M454" s="135">
        <v>0</v>
      </c>
      <c r="N454" s="136">
        <v>0</v>
      </c>
      <c r="O454" s="135">
        <v>1</v>
      </c>
      <c r="P454" s="136">
        <v>0.54271999999999998</v>
      </c>
      <c r="Q454" s="135">
        <v>0</v>
      </c>
      <c r="R454" s="136">
        <v>0</v>
      </c>
    </row>
    <row r="455" spans="1:18">
      <c r="A455" s="99" t="s">
        <v>93</v>
      </c>
      <c r="B455" s="94">
        <f t="shared" si="126"/>
        <v>2</v>
      </c>
      <c r="C455" s="95">
        <f t="shared" si="126"/>
        <v>35.07</v>
      </c>
      <c r="D455" s="96">
        <f t="shared" si="127"/>
        <v>0.19268445209541457</v>
      </c>
      <c r="F455" s="97" t="s">
        <v>93</v>
      </c>
      <c r="G455" s="135">
        <v>2</v>
      </c>
      <c r="H455" s="136">
        <v>35.07</v>
      </c>
      <c r="I455" s="135">
        <v>0</v>
      </c>
      <c r="J455" s="136">
        <v>0</v>
      </c>
      <c r="K455" s="135">
        <v>0</v>
      </c>
      <c r="L455" s="136">
        <v>0</v>
      </c>
      <c r="M455" s="135">
        <v>0</v>
      </c>
      <c r="N455" s="136">
        <v>0</v>
      </c>
      <c r="O455" s="135">
        <v>0</v>
      </c>
      <c r="P455" s="136">
        <v>0</v>
      </c>
      <c r="Q455" s="135">
        <v>0</v>
      </c>
      <c r="R455" s="136">
        <v>0</v>
      </c>
    </row>
    <row r="456" spans="1:18">
      <c r="A456" s="99" t="s">
        <v>94</v>
      </c>
      <c r="B456" s="94">
        <f t="shared" si="126"/>
        <v>2</v>
      </c>
      <c r="C456" s="95">
        <f t="shared" si="126"/>
        <v>20.350000000000001</v>
      </c>
      <c r="D456" s="96">
        <f t="shared" si="127"/>
        <v>0.11180862846141108</v>
      </c>
      <c r="F456" s="97" t="s">
        <v>94</v>
      </c>
      <c r="G456" s="135">
        <v>2</v>
      </c>
      <c r="H456" s="136">
        <v>20</v>
      </c>
      <c r="I456" s="135">
        <v>0</v>
      </c>
      <c r="J456" s="136">
        <v>0</v>
      </c>
      <c r="K456" s="135">
        <v>0</v>
      </c>
      <c r="L456" s="136">
        <v>0</v>
      </c>
      <c r="M456" s="135">
        <v>0</v>
      </c>
      <c r="N456" s="136">
        <v>0</v>
      </c>
      <c r="O456" s="135">
        <v>0</v>
      </c>
      <c r="P456" s="136">
        <v>0.35000000000000003</v>
      </c>
      <c r="Q456" s="135">
        <v>0</v>
      </c>
      <c r="R456" s="136">
        <v>0</v>
      </c>
    </row>
    <row r="457" spans="1:18">
      <c r="A457" s="99" t="s">
        <v>95</v>
      </c>
      <c r="B457" s="94">
        <f t="shared" si="126"/>
        <v>1</v>
      </c>
      <c r="C457" s="95">
        <f t="shared" si="126"/>
        <v>19</v>
      </c>
      <c r="D457" s="96">
        <f t="shared" si="127"/>
        <v>0.10439134844062951</v>
      </c>
      <c r="F457" s="97" t="s">
        <v>95</v>
      </c>
      <c r="G457" s="135">
        <v>1</v>
      </c>
      <c r="H457" s="136">
        <v>19</v>
      </c>
      <c r="I457" s="135">
        <v>0</v>
      </c>
      <c r="J457" s="136">
        <v>0</v>
      </c>
      <c r="K457" s="135">
        <v>0</v>
      </c>
      <c r="L457" s="136">
        <v>0</v>
      </c>
      <c r="M457" s="135">
        <v>0</v>
      </c>
      <c r="N457" s="136">
        <v>0</v>
      </c>
      <c r="O457" s="135">
        <v>0</v>
      </c>
      <c r="P457" s="136">
        <v>0</v>
      </c>
      <c r="Q457" s="135">
        <v>0</v>
      </c>
      <c r="R457" s="136">
        <v>0</v>
      </c>
    </row>
    <row r="458" spans="1:18">
      <c r="A458" s="99" t="s">
        <v>99</v>
      </c>
      <c r="B458" s="94">
        <f t="shared" si="126"/>
        <v>1</v>
      </c>
      <c r="C458" s="95">
        <f t="shared" si="126"/>
        <v>3.4700000000000002E-2</v>
      </c>
      <c r="D458" s="96">
        <f t="shared" si="127"/>
        <v>1.9065156794157074E-4</v>
      </c>
      <c r="F458" s="97" t="s">
        <v>99</v>
      </c>
      <c r="G458" s="135">
        <v>0</v>
      </c>
      <c r="H458" s="136">
        <v>0</v>
      </c>
      <c r="I458" s="135">
        <v>0</v>
      </c>
      <c r="J458" s="136">
        <v>0</v>
      </c>
      <c r="K458" s="135">
        <v>0</v>
      </c>
      <c r="L458" s="136">
        <v>0</v>
      </c>
      <c r="M458" s="135">
        <v>0</v>
      </c>
      <c r="N458" s="136">
        <v>0</v>
      </c>
      <c r="O458" s="135">
        <v>1</v>
      </c>
      <c r="P458" s="136">
        <v>3.4700000000000002E-2</v>
      </c>
      <c r="Q458" s="135">
        <v>0</v>
      </c>
      <c r="R458" s="136">
        <v>0</v>
      </c>
    </row>
    <row r="459" spans="1:18">
      <c r="A459" s="99" t="s">
        <v>100</v>
      </c>
      <c r="B459" s="94">
        <f t="shared" si="126"/>
        <v>4</v>
      </c>
      <c r="C459" s="95">
        <f t="shared" si="126"/>
        <v>38.010000000000005</v>
      </c>
      <c r="D459" s="96">
        <f t="shared" si="127"/>
        <v>0.20883763969622779</v>
      </c>
      <c r="F459" s="97" t="s">
        <v>100</v>
      </c>
      <c r="G459" s="135">
        <v>4</v>
      </c>
      <c r="H459" s="136">
        <v>38.010000000000005</v>
      </c>
      <c r="I459" s="135">
        <v>0</v>
      </c>
      <c r="J459" s="136">
        <v>0</v>
      </c>
      <c r="K459" s="135">
        <v>0</v>
      </c>
      <c r="L459" s="136">
        <v>0</v>
      </c>
      <c r="M459" s="135">
        <v>0</v>
      </c>
      <c r="N459" s="136">
        <v>0</v>
      </c>
      <c r="O459" s="135">
        <v>0</v>
      </c>
      <c r="P459" s="136">
        <v>0</v>
      </c>
      <c r="Q459" s="135">
        <v>0</v>
      </c>
      <c r="R459" s="136">
        <v>0</v>
      </c>
    </row>
    <row r="460" spans="1:18">
      <c r="A460" s="99" t="s">
        <v>101</v>
      </c>
      <c r="B460" s="94">
        <f t="shared" si="126"/>
        <v>3</v>
      </c>
      <c r="C460" s="95">
        <f t="shared" si="126"/>
        <v>47</v>
      </c>
      <c r="D460" s="96">
        <f t="shared" si="127"/>
        <v>0.25823123035313617</v>
      </c>
      <c r="F460" s="97" t="s">
        <v>101</v>
      </c>
      <c r="G460" s="135">
        <v>3</v>
      </c>
      <c r="H460" s="136">
        <v>47</v>
      </c>
      <c r="I460" s="135">
        <v>0</v>
      </c>
      <c r="J460" s="136">
        <v>0</v>
      </c>
      <c r="K460" s="135">
        <v>0</v>
      </c>
      <c r="L460" s="136">
        <v>0</v>
      </c>
      <c r="M460" s="135">
        <v>0</v>
      </c>
      <c r="N460" s="136">
        <v>0</v>
      </c>
      <c r="O460" s="135">
        <v>0</v>
      </c>
      <c r="P460" s="136">
        <v>0</v>
      </c>
      <c r="Q460" s="135">
        <v>0</v>
      </c>
      <c r="R460" s="136">
        <v>0</v>
      </c>
    </row>
    <row r="461" spans="1:18">
      <c r="A461" s="84" t="s">
        <v>45</v>
      </c>
      <c r="B461" s="85">
        <f>SUM(B462:B472)</f>
        <v>143</v>
      </c>
      <c r="C461" s="86">
        <f>SUM(C462:C472)</f>
        <v>545.43113012685058</v>
      </c>
      <c r="D461" s="87">
        <f>SUM(D462:D472)</f>
        <v>1.0000000000000002</v>
      </c>
      <c r="F461" s="84" t="s">
        <v>45</v>
      </c>
      <c r="G461" s="85">
        <f>SUM(G462:G472)</f>
        <v>26</v>
      </c>
      <c r="H461" s="86">
        <f t="shared" ref="H461:R461" si="128">SUM(H462:H472)</f>
        <v>213.80275145000002</v>
      </c>
      <c r="I461" s="85">
        <f t="shared" si="128"/>
        <v>40</v>
      </c>
      <c r="J461" s="86">
        <f t="shared" si="128"/>
        <v>283.06699348000001</v>
      </c>
      <c r="K461" s="85">
        <f t="shared" si="128"/>
        <v>0</v>
      </c>
      <c r="L461" s="86">
        <f t="shared" si="128"/>
        <v>0</v>
      </c>
      <c r="M461" s="85">
        <f t="shared" si="128"/>
        <v>0</v>
      </c>
      <c r="N461" s="86">
        <f t="shared" si="128"/>
        <v>0</v>
      </c>
      <c r="O461" s="85">
        <f t="shared" si="128"/>
        <v>77</v>
      </c>
      <c r="P461" s="86">
        <f t="shared" si="128"/>
        <v>48.561385196850651</v>
      </c>
      <c r="Q461" s="85">
        <f t="shared" si="128"/>
        <v>0</v>
      </c>
      <c r="R461" s="86">
        <f t="shared" si="128"/>
        <v>0</v>
      </c>
    </row>
    <row r="462" spans="1:18">
      <c r="A462" s="99" t="s">
        <v>91</v>
      </c>
      <c r="B462" s="94">
        <f t="shared" ref="B462:B472" si="129">G462+I462+K462+M462+O462</f>
        <v>20</v>
      </c>
      <c r="C462" s="95">
        <f t="shared" ref="C462:C472" si="130">H462+J462+L462+N462+P462</f>
        <v>24.970123779999998</v>
      </c>
      <c r="D462" s="96">
        <f>C462/$C$461</f>
        <v>4.5780525534346951E-2</v>
      </c>
      <c r="F462" s="97" t="s">
        <v>91</v>
      </c>
      <c r="G462" s="135">
        <v>4</v>
      </c>
      <c r="H462" s="136">
        <v>20.382248779999998</v>
      </c>
      <c r="I462" s="135">
        <v>0</v>
      </c>
      <c r="J462" s="136">
        <v>0</v>
      </c>
      <c r="K462" s="135">
        <v>0</v>
      </c>
      <c r="L462" s="136">
        <v>0</v>
      </c>
      <c r="M462" s="135">
        <v>0</v>
      </c>
      <c r="N462" s="136">
        <v>0</v>
      </c>
      <c r="O462" s="135">
        <v>16</v>
      </c>
      <c r="P462" s="136">
        <v>4.5878749999999995</v>
      </c>
      <c r="Q462" s="135">
        <v>0</v>
      </c>
      <c r="R462" s="136">
        <v>0</v>
      </c>
    </row>
    <row r="463" spans="1:18">
      <c r="A463" s="99" t="s">
        <v>92</v>
      </c>
      <c r="B463" s="94">
        <f t="shared" si="129"/>
        <v>2</v>
      </c>
      <c r="C463" s="95">
        <f t="shared" si="130"/>
        <v>2.8620851228571431</v>
      </c>
      <c r="D463" s="96">
        <f>C463/$C$461</f>
        <v>5.2473813186854771E-3</v>
      </c>
      <c r="F463" s="97" t="s">
        <v>92</v>
      </c>
      <c r="G463" s="135">
        <v>0</v>
      </c>
      <c r="H463" s="136">
        <v>0</v>
      </c>
      <c r="I463" s="135">
        <v>0</v>
      </c>
      <c r="J463" s="136">
        <v>0</v>
      </c>
      <c r="K463" s="135">
        <v>0</v>
      </c>
      <c r="L463" s="136">
        <v>0</v>
      </c>
      <c r="M463" s="135">
        <v>0</v>
      </c>
      <c r="N463" s="136">
        <v>0</v>
      </c>
      <c r="O463" s="135">
        <v>2</v>
      </c>
      <c r="P463" s="136">
        <v>2.8620851228571431</v>
      </c>
      <c r="Q463" s="135">
        <v>0</v>
      </c>
      <c r="R463" s="136">
        <v>0</v>
      </c>
    </row>
    <row r="464" spans="1:18">
      <c r="A464" s="99" t="s">
        <v>93</v>
      </c>
      <c r="B464" s="94">
        <f t="shared" si="129"/>
        <v>16</v>
      </c>
      <c r="C464" s="95">
        <f t="shared" si="130"/>
        <v>65.459450259376325</v>
      </c>
      <c r="D464" s="96">
        <f t="shared" ref="D464:D472" si="131">C464/$C$461</f>
        <v>0.12001414412146308</v>
      </c>
      <c r="F464" s="97" t="s">
        <v>93</v>
      </c>
      <c r="G464" s="135">
        <v>4</v>
      </c>
      <c r="H464" s="136">
        <v>32.901752160000001</v>
      </c>
      <c r="I464" s="135">
        <v>4</v>
      </c>
      <c r="J464" s="136">
        <v>26.44</v>
      </c>
      <c r="K464" s="135">
        <v>0</v>
      </c>
      <c r="L464" s="136">
        <v>0</v>
      </c>
      <c r="M464" s="135">
        <v>0</v>
      </c>
      <c r="N464" s="136">
        <v>0</v>
      </c>
      <c r="O464" s="135">
        <v>8</v>
      </c>
      <c r="P464" s="136">
        <v>6.1176980993763257</v>
      </c>
      <c r="Q464" s="135">
        <v>0</v>
      </c>
      <c r="R464" s="136">
        <v>0</v>
      </c>
    </row>
    <row r="465" spans="1:18">
      <c r="A465" s="99" t="s">
        <v>94</v>
      </c>
      <c r="B465" s="94">
        <f t="shared" si="129"/>
        <v>7</v>
      </c>
      <c r="C465" s="95">
        <f t="shared" si="130"/>
        <v>8.9682899799999998</v>
      </c>
      <c r="D465" s="96">
        <f t="shared" si="131"/>
        <v>1.644257081167012E-2</v>
      </c>
      <c r="F465" s="97" t="s">
        <v>94</v>
      </c>
      <c r="G465" s="135">
        <v>2</v>
      </c>
      <c r="H465" s="136">
        <v>4</v>
      </c>
      <c r="I465" s="135">
        <v>0</v>
      </c>
      <c r="J465" s="136">
        <v>0</v>
      </c>
      <c r="K465" s="135">
        <v>0</v>
      </c>
      <c r="L465" s="136">
        <v>0</v>
      </c>
      <c r="M465" s="135">
        <v>0</v>
      </c>
      <c r="N465" s="136">
        <v>0</v>
      </c>
      <c r="O465" s="135">
        <v>5</v>
      </c>
      <c r="P465" s="136">
        <v>4.9682899799999998</v>
      </c>
      <c r="Q465" s="135">
        <v>0</v>
      </c>
      <c r="R465" s="136">
        <v>0</v>
      </c>
    </row>
    <row r="466" spans="1:18">
      <c r="A466" s="99" t="s">
        <v>95</v>
      </c>
      <c r="B466" s="94">
        <f t="shared" si="129"/>
        <v>4</v>
      </c>
      <c r="C466" s="95">
        <f t="shared" si="130"/>
        <v>3.5816546960936999</v>
      </c>
      <c r="D466" s="96">
        <f t="shared" si="131"/>
        <v>6.5666488366014544E-3</v>
      </c>
      <c r="F466" s="97" t="s">
        <v>95</v>
      </c>
      <c r="G466" s="135">
        <v>0</v>
      </c>
      <c r="H466" s="136">
        <v>0</v>
      </c>
      <c r="I466" s="135">
        <v>2</v>
      </c>
      <c r="J466" s="136">
        <v>1.7</v>
      </c>
      <c r="K466" s="135">
        <v>0</v>
      </c>
      <c r="L466" s="136">
        <v>0</v>
      </c>
      <c r="M466" s="135">
        <v>0</v>
      </c>
      <c r="N466" s="136">
        <v>0</v>
      </c>
      <c r="O466" s="135">
        <v>2</v>
      </c>
      <c r="P466" s="136">
        <v>1.8816546960937</v>
      </c>
      <c r="Q466" s="135">
        <v>0</v>
      </c>
      <c r="R466" s="136">
        <v>0</v>
      </c>
    </row>
    <row r="467" spans="1:18">
      <c r="A467" s="99" t="s">
        <v>106</v>
      </c>
      <c r="B467" s="94">
        <f t="shared" si="129"/>
        <v>2</v>
      </c>
      <c r="C467" s="95">
        <f t="shared" si="130"/>
        <v>0.6266799999999999</v>
      </c>
      <c r="D467" s="96">
        <f t="shared" si="131"/>
        <v>1.1489626561180205E-3</v>
      </c>
      <c r="F467" s="97" t="s">
        <v>96</v>
      </c>
      <c r="G467" s="135">
        <v>0</v>
      </c>
      <c r="H467" s="136">
        <v>0</v>
      </c>
      <c r="I467" s="135">
        <v>0</v>
      </c>
      <c r="J467" s="136">
        <v>0</v>
      </c>
      <c r="K467" s="135">
        <v>0</v>
      </c>
      <c r="L467" s="136">
        <v>0</v>
      </c>
      <c r="M467" s="135">
        <v>0</v>
      </c>
      <c r="N467" s="136">
        <v>0</v>
      </c>
      <c r="O467" s="135">
        <v>2</v>
      </c>
      <c r="P467" s="136">
        <v>0.6266799999999999</v>
      </c>
      <c r="Q467" s="135">
        <v>0</v>
      </c>
      <c r="R467" s="136">
        <v>0</v>
      </c>
    </row>
    <row r="468" spans="1:18">
      <c r="A468" s="99" t="s">
        <v>97</v>
      </c>
      <c r="B468" s="94">
        <f t="shared" si="129"/>
        <v>2</v>
      </c>
      <c r="C468" s="95">
        <f t="shared" si="130"/>
        <v>18.45463625556598</v>
      </c>
      <c r="D468" s="96">
        <f t="shared" si="131"/>
        <v>3.3834952272111779E-2</v>
      </c>
      <c r="F468" s="97" t="s">
        <v>97</v>
      </c>
      <c r="G468" s="135">
        <v>1</v>
      </c>
      <c r="H468" s="136">
        <v>10.68826735</v>
      </c>
      <c r="I468" s="135">
        <v>1</v>
      </c>
      <c r="J468" s="136">
        <v>7.5</v>
      </c>
      <c r="K468" s="135">
        <v>0</v>
      </c>
      <c r="L468" s="136">
        <v>0</v>
      </c>
      <c r="M468" s="135">
        <v>0</v>
      </c>
      <c r="N468" s="136">
        <v>0</v>
      </c>
      <c r="O468" s="135">
        <v>0</v>
      </c>
      <c r="P468" s="136">
        <v>0.26636890556597881</v>
      </c>
      <c r="Q468" s="135">
        <v>0</v>
      </c>
      <c r="R468" s="136">
        <v>0</v>
      </c>
    </row>
    <row r="469" spans="1:18">
      <c r="A469" s="99" t="s">
        <v>98</v>
      </c>
      <c r="B469" s="94">
        <f t="shared" si="129"/>
        <v>6</v>
      </c>
      <c r="C469" s="95">
        <f t="shared" si="130"/>
        <v>37.355639949999997</v>
      </c>
      <c r="D469" s="96">
        <f t="shared" si="131"/>
        <v>6.8488279980118152E-2</v>
      </c>
      <c r="F469" s="97" t="s">
        <v>98</v>
      </c>
      <c r="G469" s="135">
        <v>2</v>
      </c>
      <c r="H469" s="136">
        <v>10.660645949999999</v>
      </c>
      <c r="I469" s="135">
        <v>4</v>
      </c>
      <c r="J469" s="136">
        <v>26.49</v>
      </c>
      <c r="K469" s="135">
        <v>0</v>
      </c>
      <c r="L469" s="136">
        <v>0</v>
      </c>
      <c r="M469" s="135">
        <v>0</v>
      </c>
      <c r="N469" s="136">
        <v>0</v>
      </c>
      <c r="O469" s="135">
        <v>0</v>
      </c>
      <c r="P469" s="136">
        <v>0.20499400000000001</v>
      </c>
      <c r="Q469" s="135">
        <v>0</v>
      </c>
      <c r="R469" s="136">
        <v>0</v>
      </c>
    </row>
    <row r="470" spans="1:18">
      <c r="A470" s="99" t="s">
        <v>99</v>
      </c>
      <c r="B470" s="94">
        <f t="shared" si="129"/>
        <v>37</v>
      </c>
      <c r="C470" s="95">
        <f t="shared" si="130"/>
        <v>114.01302305475237</v>
      </c>
      <c r="D470" s="96">
        <f t="shared" si="131"/>
        <v>0.20903284898358557</v>
      </c>
      <c r="F470" s="97" t="s">
        <v>99</v>
      </c>
      <c r="G470" s="135">
        <v>5</v>
      </c>
      <c r="H470" s="136">
        <v>45.552959399999999</v>
      </c>
      <c r="I470" s="135">
        <v>11</v>
      </c>
      <c r="J470" s="136">
        <v>58.5</v>
      </c>
      <c r="K470" s="135">
        <v>0</v>
      </c>
      <c r="L470" s="136">
        <v>0</v>
      </c>
      <c r="M470" s="135">
        <v>0</v>
      </c>
      <c r="N470" s="136">
        <v>0</v>
      </c>
      <c r="O470" s="135">
        <v>21</v>
      </c>
      <c r="P470" s="136">
        <v>9.9600636547523731</v>
      </c>
      <c r="Q470" s="135">
        <v>0</v>
      </c>
      <c r="R470" s="136">
        <v>0</v>
      </c>
    </row>
    <row r="471" spans="1:18">
      <c r="A471" s="99" t="s">
        <v>100</v>
      </c>
      <c r="B471" s="94">
        <f t="shared" si="129"/>
        <v>38</v>
      </c>
      <c r="C471" s="95">
        <f t="shared" si="130"/>
        <v>197.48955190000001</v>
      </c>
      <c r="D471" s="96">
        <f t="shared" si="131"/>
        <v>0.36207972187812232</v>
      </c>
      <c r="F471" s="97" t="s">
        <v>100</v>
      </c>
      <c r="G471" s="135">
        <v>6</v>
      </c>
      <c r="H471" s="136">
        <v>59.96687781</v>
      </c>
      <c r="I471" s="135">
        <v>13</v>
      </c>
      <c r="J471" s="136">
        <v>122.50283748000001</v>
      </c>
      <c r="K471" s="135">
        <v>0</v>
      </c>
      <c r="L471" s="136">
        <v>0</v>
      </c>
      <c r="M471" s="135">
        <v>0</v>
      </c>
      <c r="N471" s="136">
        <v>0</v>
      </c>
      <c r="O471" s="135">
        <v>19</v>
      </c>
      <c r="P471" s="136">
        <v>15.019836609999999</v>
      </c>
      <c r="Q471" s="135">
        <v>0</v>
      </c>
      <c r="R471" s="136">
        <v>0</v>
      </c>
    </row>
    <row r="472" spans="1:18">
      <c r="A472" s="99" t="s">
        <v>101</v>
      </c>
      <c r="B472" s="94">
        <f t="shared" si="129"/>
        <v>9</v>
      </c>
      <c r="C472" s="95">
        <f t="shared" si="130"/>
        <v>71.649995128205134</v>
      </c>
      <c r="D472" s="96">
        <f t="shared" si="131"/>
        <v>0.1313639636071772</v>
      </c>
      <c r="F472" s="97" t="s">
        <v>101</v>
      </c>
      <c r="G472" s="135">
        <v>2</v>
      </c>
      <c r="H472" s="136">
        <v>29.65</v>
      </c>
      <c r="I472" s="135">
        <v>5</v>
      </c>
      <c r="J472" s="136">
        <v>39.934156000000002</v>
      </c>
      <c r="K472" s="135">
        <v>0</v>
      </c>
      <c r="L472" s="136">
        <v>0</v>
      </c>
      <c r="M472" s="135">
        <v>0</v>
      </c>
      <c r="N472" s="136">
        <v>0</v>
      </c>
      <c r="O472" s="135">
        <v>2</v>
      </c>
      <c r="P472" s="136">
        <v>2.0658391282051287</v>
      </c>
      <c r="Q472" s="135">
        <v>0</v>
      </c>
      <c r="R472" s="136">
        <v>0</v>
      </c>
    </row>
    <row r="473" spans="1:18">
      <c r="A473" s="84" t="s">
        <v>46</v>
      </c>
      <c r="B473" s="85">
        <f>B474+B486</f>
        <v>3647</v>
      </c>
      <c r="C473" s="86">
        <f>C474+C486</f>
        <v>13837.683930094097</v>
      </c>
      <c r="D473" s="87">
        <f>D474+D486</f>
        <v>1</v>
      </c>
      <c r="F473" s="84" t="s">
        <v>46</v>
      </c>
      <c r="G473" s="85">
        <f>SUM(G475:G485)</f>
        <v>228</v>
      </c>
      <c r="H473" s="86">
        <f t="shared" ref="H473:R473" si="132">SUM(H475:H485)</f>
        <v>11147.300570149999</v>
      </c>
      <c r="I473" s="85">
        <f t="shared" si="132"/>
        <v>39</v>
      </c>
      <c r="J473" s="86">
        <f t="shared" si="132"/>
        <v>400.84493999999995</v>
      </c>
      <c r="K473" s="85">
        <f t="shared" si="132"/>
        <v>1</v>
      </c>
      <c r="L473" s="86">
        <f t="shared" si="132"/>
        <v>25</v>
      </c>
      <c r="M473" s="85">
        <f t="shared" si="132"/>
        <v>0</v>
      </c>
      <c r="N473" s="86">
        <f t="shared" si="132"/>
        <v>0</v>
      </c>
      <c r="O473" s="85">
        <f t="shared" si="132"/>
        <v>297</v>
      </c>
      <c r="P473" s="86">
        <f t="shared" si="132"/>
        <v>184.58063895672885</v>
      </c>
      <c r="Q473" s="85">
        <f t="shared" si="132"/>
        <v>3082</v>
      </c>
      <c r="R473" s="86">
        <f t="shared" si="132"/>
        <v>2079.9577809873676</v>
      </c>
    </row>
    <row r="474" spans="1:18">
      <c r="A474" s="88" t="s">
        <v>90</v>
      </c>
      <c r="B474" s="89">
        <f>SUM(B475:B485)</f>
        <v>565</v>
      </c>
      <c r="C474" s="90">
        <f>SUM(C475:C485)</f>
        <v>11757.726149106729</v>
      </c>
      <c r="D474" s="91">
        <f>SUM(D475:D485)</f>
        <v>0.84968887918708058</v>
      </c>
      <c r="F474" s="92"/>
      <c r="G474" s="89"/>
      <c r="H474" s="90"/>
      <c r="I474" s="89"/>
      <c r="J474" s="90"/>
      <c r="K474" s="89"/>
      <c r="L474" s="90"/>
      <c r="M474" s="89"/>
      <c r="N474" s="90"/>
      <c r="O474" s="89"/>
      <c r="P474" s="90"/>
      <c r="Q474" s="89"/>
      <c r="R474" s="90"/>
    </row>
    <row r="475" spans="1:18">
      <c r="A475" s="93" t="s">
        <v>91</v>
      </c>
      <c r="B475" s="94">
        <f t="shared" ref="B475:B485" si="133">G475+I475+K475+M475+O475</f>
        <v>135</v>
      </c>
      <c r="C475" s="95">
        <f t="shared" ref="C475:C485" si="134">H475+J475+L475+N475+P475</f>
        <v>1446.6713421299999</v>
      </c>
      <c r="D475" s="96">
        <f>C475/$C$473</f>
        <v>0.10454577149170095</v>
      </c>
      <c r="F475" s="97" t="s">
        <v>91</v>
      </c>
      <c r="G475" s="135">
        <v>51</v>
      </c>
      <c r="H475" s="136">
        <v>1359.7552421299997</v>
      </c>
      <c r="I475" s="135">
        <v>4</v>
      </c>
      <c r="J475" s="136">
        <v>26.66</v>
      </c>
      <c r="K475" s="135">
        <v>1</v>
      </c>
      <c r="L475" s="136">
        <v>25</v>
      </c>
      <c r="M475" s="135">
        <v>0</v>
      </c>
      <c r="N475" s="136">
        <v>0</v>
      </c>
      <c r="O475" s="135">
        <v>79</v>
      </c>
      <c r="P475" s="136">
        <v>35.256100000000018</v>
      </c>
      <c r="Q475" s="135">
        <v>0</v>
      </c>
      <c r="R475" s="136">
        <v>0</v>
      </c>
    </row>
    <row r="476" spans="1:18">
      <c r="A476" s="93" t="s">
        <v>92</v>
      </c>
      <c r="B476" s="94">
        <f t="shared" si="133"/>
        <v>46</v>
      </c>
      <c r="C476" s="95">
        <f t="shared" si="134"/>
        <v>1336.2033273699999</v>
      </c>
      <c r="D476" s="96">
        <f t="shared" ref="D476:D485" si="135">C476/$C$473</f>
        <v>9.6562642572290178E-2</v>
      </c>
      <c r="F476" s="97" t="s">
        <v>92</v>
      </c>
      <c r="G476" s="135">
        <v>20</v>
      </c>
      <c r="H476" s="136">
        <v>1300.4353273699999</v>
      </c>
      <c r="I476" s="135">
        <v>2</v>
      </c>
      <c r="J476" s="136">
        <v>18</v>
      </c>
      <c r="K476" s="135">
        <v>0</v>
      </c>
      <c r="L476" s="136">
        <v>0</v>
      </c>
      <c r="M476" s="135">
        <v>0</v>
      </c>
      <c r="N476" s="136">
        <v>0</v>
      </c>
      <c r="O476" s="135">
        <v>24</v>
      </c>
      <c r="P476" s="136">
        <v>17.768000000000001</v>
      </c>
      <c r="Q476" s="135">
        <v>0</v>
      </c>
      <c r="R476" s="136">
        <v>0</v>
      </c>
    </row>
    <row r="477" spans="1:18">
      <c r="A477" s="93" t="s">
        <v>93</v>
      </c>
      <c r="B477" s="94">
        <f t="shared" si="133"/>
        <v>63</v>
      </c>
      <c r="C477" s="95">
        <f t="shared" si="134"/>
        <v>1519.6319800422334</v>
      </c>
      <c r="D477" s="96">
        <f t="shared" si="135"/>
        <v>0.10981837623399884</v>
      </c>
      <c r="F477" s="97" t="s">
        <v>93</v>
      </c>
      <c r="G477" s="135">
        <v>24</v>
      </c>
      <c r="H477" s="136">
        <v>1474.0671383500001</v>
      </c>
      <c r="I477" s="135">
        <v>8</v>
      </c>
      <c r="J477" s="136">
        <v>21.6</v>
      </c>
      <c r="K477" s="135">
        <v>0</v>
      </c>
      <c r="L477" s="136">
        <v>0</v>
      </c>
      <c r="M477" s="135">
        <v>0</v>
      </c>
      <c r="N477" s="136">
        <v>0</v>
      </c>
      <c r="O477" s="135">
        <v>31</v>
      </c>
      <c r="P477" s="136">
        <v>23.964841692233477</v>
      </c>
      <c r="Q477" s="135">
        <v>0</v>
      </c>
      <c r="R477" s="136">
        <v>0</v>
      </c>
    </row>
    <row r="478" spans="1:18">
      <c r="A478" s="93" t="s">
        <v>94</v>
      </c>
      <c r="B478" s="94">
        <f t="shared" si="133"/>
        <v>63</v>
      </c>
      <c r="C478" s="95">
        <f t="shared" si="134"/>
        <v>1362.1450762884213</v>
      </c>
      <c r="D478" s="96">
        <f t="shared" si="135"/>
        <v>9.8437360122530168E-2</v>
      </c>
      <c r="F478" s="97" t="s">
        <v>94</v>
      </c>
      <c r="G478" s="135">
        <v>31</v>
      </c>
      <c r="H478" s="136">
        <v>1330.4295569200001</v>
      </c>
      <c r="I478" s="135">
        <v>2</v>
      </c>
      <c r="J478" s="136">
        <v>10.75</v>
      </c>
      <c r="K478" s="135">
        <v>0</v>
      </c>
      <c r="L478" s="136">
        <v>0</v>
      </c>
      <c r="M478" s="135">
        <v>0</v>
      </c>
      <c r="N478" s="136">
        <v>0</v>
      </c>
      <c r="O478" s="135">
        <v>30</v>
      </c>
      <c r="P478" s="136">
        <v>20.965519368421056</v>
      </c>
      <c r="Q478" s="135">
        <v>1780</v>
      </c>
      <c r="R478" s="136">
        <v>1162.5646728154338</v>
      </c>
    </row>
    <row r="479" spans="1:18">
      <c r="A479" s="93" t="s">
        <v>95</v>
      </c>
      <c r="B479" s="94">
        <f t="shared" si="133"/>
        <v>20</v>
      </c>
      <c r="C479" s="95">
        <f t="shared" si="134"/>
        <v>361.97027662830118</v>
      </c>
      <c r="D479" s="96">
        <f t="shared" si="135"/>
        <v>2.6158299210830419E-2</v>
      </c>
      <c r="F479" s="97" t="s">
        <v>95</v>
      </c>
      <c r="G479" s="135">
        <v>6</v>
      </c>
      <c r="H479" s="136">
        <v>331.99875456000001</v>
      </c>
      <c r="I479" s="135">
        <v>6</v>
      </c>
      <c r="J479" s="136">
        <v>25</v>
      </c>
      <c r="K479" s="135">
        <v>0</v>
      </c>
      <c r="L479" s="136">
        <v>0</v>
      </c>
      <c r="M479" s="135">
        <v>0</v>
      </c>
      <c r="N479" s="136">
        <v>0</v>
      </c>
      <c r="O479" s="135">
        <v>8</v>
      </c>
      <c r="P479" s="136">
        <v>4.9715220683011925</v>
      </c>
      <c r="Q479" s="135">
        <v>0</v>
      </c>
      <c r="R479" s="136">
        <v>0</v>
      </c>
    </row>
    <row r="480" spans="1:18">
      <c r="A480" s="93" t="s">
        <v>96</v>
      </c>
      <c r="B480" s="94">
        <f t="shared" si="133"/>
        <v>30</v>
      </c>
      <c r="C480" s="95">
        <f t="shared" si="134"/>
        <v>251.44869162000001</v>
      </c>
      <c r="D480" s="96">
        <f t="shared" si="135"/>
        <v>1.8171298960886883E-2</v>
      </c>
      <c r="F480" s="97" t="s">
        <v>96</v>
      </c>
      <c r="G480" s="135">
        <v>11</v>
      </c>
      <c r="H480" s="136">
        <v>243.74050283</v>
      </c>
      <c r="I480" s="135">
        <v>0</v>
      </c>
      <c r="J480" s="136">
        <v>0</v>
      </c>
      <c r="K480" s="135">
        <v>0</v>
      </c>
      <c r="L480" s="136">
        <v>0</v>
      </c>
      <c r="M480" s="135">
        <v>0</v>
      </c>
      <c r="N480" s="136">
        <v>0</v>
      </c>
      <c r="O480" s="135">
        <v>19</v>
      </c>
      <c r="P480" s="136">
        <v>7.7081887899999986</v>
      </c>
      <c r="Q480" s="135">
        <v>1302</v>
      </c>
      <c r="R480" s="136">
        <v>917.39310817193382</v>
      </c>
    </row>
    <row r="481" spans="1:18">
      <c r="A481" s="93" t="s">
        <v>97</v>
      </c>
      <c r="B481" s="94">
        <f t="shared" si="133"/>
        <v>0</v>
      </c>
      <c r="C481" s="95">
        <f t="shared" si="134"/>
        <v>0.38246890556597873</v>
      </c>
      <c r="D481" s="96">
        <f t="shared" si="135"/>
        <v>2.763966191872529E-5</v>
      </c>
      <c r="F481" s="97" t="s">
        <v>97</v>
      </c>
      <c r="G481" s="135">
        <v>0</v>
      </c>
      <c r="H481" s="136">
        <v>0</v>
      </c>
      <c r="I481" s="135">
        <v>0</v>
      </c>
      <c r="J481" s="136">
        <v>0</v>
      </c>
      <c r="K481" s="135">
        <v>0</v>
      </c>
      <c r="L481" s="136">
        <v>0</v>
      </c>
      <c r="M481" s="135">
        <v>0</v>
      </c>
      <c r="N481" s="136">
        <v>0</v>
      </c>
      <c r="O481" s="135">
        <v>0</v>
      </c>
      <c r="P481" s="136">
        <v>0.38246890556597873</v>
      </c>
      <c r="Q481" s="135">
        <v>0</v>
      </c>
      <c r="R481" s="136">
        <v>0</v>
      </c>
    </row>
    <row r="482" spans="1:18">
      <c r="A482" s="93" t="s">
        <v>98</v>
      </c>
      <c r="B482" s="94">
        <f t="shared" si="133"/>
        <v>16</v>
      </c>
      <c r="C482" s="95">
        <f t="shared" si="134"/>
        <v>173.12408763999997</v>
      </c>
      <c r="D482" s="96">
        <f t="shared" si="135"/>
        <v>1.251105954685747E-2</v>
      </c>
      <c r="F482" s="97" t="s">
        <v>98</v>
      </c>
      <c r="G482" s="135">
        <v>6</v>
      </c>
      <c r="H482" s="136">
        <v>144.12612463999997</v>
      </c>
      <c r="I482" s="135">
        <v>5</v>
      </c>
      <c r="J482" s="136">
        <v>27.28</v>
      </c>
      <c r="K482" s="135">
        <v>0</v>
      </c>
      <c r="L482" s="136">
        <v>0</v>
      </c>
      <c r="M482" s="135">
        <v>0</v>
      </c>
      <c r="N482" s="136">
        <v>0</v>
      </c>
      <c r="O482" s="135">
        <v>5</v>
      </c>
      <c r="P482" s="136">
        <v>1.7179630000000001</v>
      </c>
      <c r="Q482" s="135">
        <v>0</v>
      </c>
      <c r="R482" s="136">
        <v>0</v>
      </c>
    </row>
    <row r="483" spans="1:18">
      <c r="A483" s="93" t="s">
        <v>99</v>
      </c>
      <c r="B483" s="94">
        <f t="shared" si="133"/>
        <v>37</v>
      </c>
      <c r="C483" s="95">
        <f t="shared" si="134"/>
        <v>459.27571710400207</v>
      </c>
      <c r="D483" s="96">
        <f t="shared" si="135"/>
        <v>3.3190215893367278E-2</v>
      </c>
      <c r="F483" s="97" t="s">
        <v>99</v>
      </c>
      <c r="G483" s="135">
        <v>8</v>
      </c>
      <c r="H483" s="136">
        <v>433.86537610000005</v>
      </c>
      <c r="I483" s="135">
        <v>3</v>
      </c>
      <c r="J483" s="136">
        <v>7</v>
      </c>
      <c r="K483" s="135">
        <v>0</v>
      </c>
      <c r="L483" s="136">
        <v>0</v>
      </c>
      <c r="M483" s="135">
        <v>0</v>
      </c>
      <c r="N483" s="136">
        <v>0</v>
      </c>
      <c r="O483" s="135">
        <v>26</v>
      </c>
      <c r="P483" s="136">
        <v>18.410341004001999</v>
      </c>
      <c r="Q483" s="135">
        <v>0</v>
      </c>
      <c r="R483" s="136">
        <v>0</v>
      </c>
    </row>
    <row r="484" spans="1:18">
      <c r="A484" s="93" t="s">
        <v>100</v>
      </c>
      <c r="B484" s="94">
        <f t="shared" si="133"/>
        <v>89</v>
      </c>
      <c r="C484" s="95">
        <f t="shared" si="134"/>
        <v>3514.2159936500002</v>
      </c>
      <c r="D484" s="96">
        <f t="shared" si="135"/>
        <v>0.25395983976822217</v>
      </c>
      <c r="F484" s="97" t="s">
        <v>100</v>
      </c>
      <c r="G484" s="135">
        <v>43</v>
      </c>
      <c r="H484" s="136">
        <v>3249.3544206500001</v>
      </c>
      <c r="I484" s="135">
        <v>5</v>
      </c>
      <c r="J484" s="136">
        <v>231.43493999999998</v>
      </c>
      <c r="K484" s="135">
        <v>0</v>
      </c>
      <c r="L484" s="136">
        <v>0</v>
      </c>
      <c r="M484" s="135">
        <v>0</v>
      </c>
      <c r="N484" s="136">
        <v>0</v>
      </c>
      <c r="O484" s="135">
        <v>41</v>
      </c>
      <c r="P484" s="136">
        <v>33.42663300000001</v>
      </c>
      <c r="Q484" s="135">
        <v>0</v>
      </c>
      <c r="R484" s="136">
        <v>0</v>
      </c>
    </row>
    <row r="485" spans="1:18">
      <c r="A485" s="93" t="s">
        <v>101</v>
      </c>
      <c r="B485" s="94">
        <f t="shared" si="133"/>
        <v>66</v>
      </c>
      <c r="C485" s="95">
        <f t="shared" si="134"/>
        <v>1332.6571877282049</v>
      </c>
      <c r="D485" s="96">
        <f t="shared" si="135"/>
        <v>9.630637572447738E-2</v>
      </c>
      <c r="F485" s="97" t="s">
        <v>101</v>
      </c>
      <c r="G485" s="135">
        <v>28</v>
      </c>
      <c r="H485" s="136">
        <v>1279.5281266</v>
      </c>
      <c r="I485" s="135">
        <v>4</v>
      </c>
      <c r="J485" s="136">
        <v>33.119999999999997</v>
      </c>
      <c r="K485" s="135">
        <v>0</v>
      </c>
      <c r="L485" s="136">
        <v>0</v>
      </c>
      <c r="M485" s="135">
        <v>0</v>
      </c>
      <c r="N485" s="136">
        <v>0</v>
      </c>
      <c r="O485" s="135">
        <v>34</v>
      </c>
      <c r="P485" s="136">
        <v>20.009061128205126</v>
      </c>
      <c r="Q485" s="135">
        <v>0</v>
      </c>
      <c r="R485" s="136">
        <v>0</v>
      </c>
    </row>
    <row r="486" spans="1:18" ht="17.25">
      <c r="A486" s="104" t="s">
        <v>103</v>
      </c>
      <c r="B486" s="89">
        <f>SUM(B487:B488)</f>
        <v>3082</v>
      </c>
      <c r="C486" s="90">
        <f>SUM(C487:C488)</f>
        <v>2079.9577809873676</v>
      </c>
      <c r="D486" s="91">
        <f>SUM(D487:D488)</f>
        <v>0.15031112081291942</v>
      </c>
      <c r="E486" s="123"/>
      <c r="F486" s="97"/>
      <c r="G486" s="135"/>
      <c r="H486" s="136"/>
      <c r="I486" s="135"/>
      <c r="J486" s="136"/>
      <c r="K486" s="135"/>
      <c r="L486" s="136"/>
      <c r="M486" s="135"/>
      <c r="N486" s="136"/>
      <c r="O486" s="135"/>
      <c r="P486" s="136"/>
      <c r="Q486" s="135"/>
      <c r="R486" s="136"/>
    </row>
    <row r="487" spans="1:18">
      <c r="A487" s="93" t="s">
        <v>94</v>
      </c>
      <c r="B487" s="94">
        <f>Q478</f>
        <v>1780</v>
      </c>
      <c r="C487" s="95">
        <f>R478</f>
        <v>1162.5646728154338</v>
      </c>
      <c r="D487" s="96">
        <f>C487/$C$473</f>
        <v>8.4014397112156636E-2</v>
      </c>
      <c r="F487" s="97"/>
      <c r="G487" s="135"/>
      <c r="H487" s="136"/>
      <c r="I487" s="135"/>
      <c r="J487" s="136"/>
      <c r="K487" s="135"/>
      <c r="L487" s="136"/>
      <c r="M487" s="135"/>
      <c r="N487" s="136"/>
      <c r="O487" s="135"/>
      <c r="P487" s="136"/>
      <c r="Q487" s="135"/>
      <c r="R487" s="136"/>
    </row>
    <row r="488" spans="1:18">
      <c r="A488" s="93" t="s">
        <v>96</v>
      </c>
      <c r="B488" s="94">
        <f>Q480</f>
        <v>1302</v>
      </c>
      <c r="C488" s="95">
        <f>R480</f>
        <v>917.39310817193382</v>
      </c>
      <c r="D488" s="96">
        <f>C488/$C$473</f>
        <v>6.6296723700762797E-2</v>
      </c>
      <c r="F488" s="97"/>
      <c r="G488" s="135"/>
      <c r="H488" s="136"/>
      <c r="I488" s="135"/>
      <c r="J488" s="136"/>
      <c r="K488" s="135"/>
      <c r="L488" s="136"/>
      <c r="M488" s="135"/>
      <c r="N488" s="136"/>
      <c r="O488" s="135"/>
      <c r="P488" s="136"/>
      <c r="Q488" s="135"/>
      <c r="R488" s="136"/>
    </row>
    <row r="489" spans="1:18">
      <c r="A489" s="84" t="s">
        <v>113</v>
      </c>
      <c r="B489" s="85">
        <f>SUM(B490:B494)</f>
        <v>13</v>
      </c>
      <c r="C489" s="86">
        <f>SUM(C490:C494)</f>
        <v>100.49000000000001</v>
      </c>
      <c r="D489" s="87">
        <f>SUM(D490:D494)</f>
        <v>1</v>
      </c>
      <c r="F489" s="84" t="s">
        <v>113</v>
      </c>
      <c r="G489" s="85">
        <f>SUM(G490:G494)</f>
        <v>12</v>
      </c>
      <c r="H489" s="86">
        <f t="shared" ref="H489:R489" si="136">SUM(H490:H494)</f>
        <v>100.39000000000001</v>
      </c>
      <c r="I489" s="85">
        <f t="shared" si="136"/>
        <v>0</v>
      </c>
      <c r="J489" s="86">
        <f t="shared" si="136"/>
        <v>0</v>
      </c>
      <c r="K489" s="85">
        <f t="shared" si="136"/>
        <v>0</v>
      </c>
      <c r="L489" s="86">
        <f t="shared" si="136"/>
        <v>0</v>
      </c>
      <c r="M489" s="85">
        <f t="shared" si="136"/>
        <v>0</v>
      </c>
      <c r="N489" s="86">
        <f t="shared" si="136"/>
        <v>0</v>
      </c>
      <c r="O489" s="85">
        <f t="shared" si="136"/>
        <v>1</v>
      </c>
      <c r="P489" s="86">
        <f t="shared" si="136"/>
        <v>0.1</v>
      </c>
      <c r="Q489" s="85">
        <f t="shared" si="136"/>
        <v>0</v>
      </c>
      <c r="R489" s="86">
        <f t="shared" si="136"/>
        <v>0</v>
      </c>
    </row>
    <row r="490" spans="1:18">
      <c r="A490" s="93" t="s">
        <v>91</v>
      </c>
      <c r="B490" s="94">
        <f t="shared" ref="B490:C494" si="137">G490+I490+K490+M490+O490</f>
        <v>1</v>
      </c>
      <c r="C490" s="95">
        <f t="shared" si="137"/>
        <v>10</v>
      </c>
      <c r="D490" s="96">
        <f>C490/$C$489</f>
        <v>9.9512389292466905E-2</v>
      </c>
      <c r="F490" s="97" t="s">
        <v>91</v>
      </c>
      <c r="G490" s="135">
        <v>1</v>
      </c>
      <c r="H490" s="136">
        <v>10</v>
      </c>
      <c r="I490" s="135">
        <v>0</v>
      </c>
      <c r="J490" s="136">
        <v>0</v>
      </c>
      <c r="K490" s="135">
        <v>0</v>
      </c>
      <c r="L490" s="136">
        <v>0</v>
      </c>
      <c r="M490" s="135">
        <v>0</v>
      </c>
      <c r="N490" s="136">
        <v>0</v>
      </c>
      <c r="O490" s="135">
        <v>0</v>
      </c>
      <c r="P490" s="136">
        <v>0</v>
      </c>
      <c r="Q490" s="135">
        <v>0</v>
      </c>
      <c r="R490" s="136">
        <v>0</v>
      </c>
    </row>
    <row r="491" spans="1:18">
      <c r="A491" s="93" t="s">
        <v>93</v>
      </c>
      <c r="B491" s="94">
        <f t="shared" si="137"/>
        <v>3</v>
      </c>
      <c r="C491" s="95">
        <f t="shared" si="137"/>
        <v>35.880000000000003</v>
      </c>
      <c r="D491" s="96">
        <f>C491/$C$489</f>
        <v>0.35705045278137126</v>
      </c>
      <c r="F491" s="97" t="s">
        <v>93</v>
      </c>
      <c r="G491" s="135">
        <v>3</v>
      </c>
      <c r="H491" s="136">
        <v>35.880000000000003</v>
      </c>
      <c r="I491" s="135">
        <v>0</v>
      </c>
      <c r="J491" s="136">
        <v>0</v>
      </c>
      <c r="K491" s="135">
        <v>0</v>
      </c>
      <c r="L491" s="136">
        <v>0</v>
      </c>
      <c r="M491" s="135">
        <v>0</v>
      </c>
      <c r="N491" s="136">
        <v>0</v>
      </c>
      <c r="O491" s="135">
        <v>0</v>
      </c>
      <c r="P491" s="136">
        <v>0</v>
      </c>
      <c r="Q491" s="135">
        <v>0</v>
      </c>
      <c r="R491" s="136">
        <v>0</v>
      </c>
    </row>
    <row r="492" spans="1:18">
      <c r="A492" s="93" t="s">
        <v>94</v>
      </c>
      <c r="B492" s="94">
        <f t="shared" si="137"/>
        <v>1</v>
      </c>
      <c r="C492" s="95">
        <f t="shared" si="137"/>
        <v>7.5</v>
      </c>
      <c r="D492" s="96">
        <f>C492/$C$489</f>
        <v>7.4634291969350175E-2</v>
      </c>
      <c r="F492" s="97" t="s">
        <v>94</v>
      </c>
      <c r="G492" s="135">
        <v>1</v>
      </c>
      <c r="H492" s="136">
        <v>7.5</v>
      </c>
      <c r="I492" s="135">
        <v>0</v>
      </c>
      <c r="J492" s="136">
        <v>0</v>
      </c>
      <c r="K492" s="135">
        <v>0</v>
      </c>
      <c r="L492" s="136">
        <v>0</v>
      </c>
      <c r="M492" s="135">
        <v>0</v>
      </c>
      <c r="N492" s="136">
        <v>0</v>
      </c>
      <c r="O492" s="135">
        <v>0</v>
      </c>
      <c r="P492" s="136">
        <v>0</v>
      </c>
      <c r="Q492" s="135">
        <v>0</v>
      </c>
      <c r="R492" s="136">
        <v>0</v>
      </c>
    </row>
    <row r="493" spans="1:18">
      <c r="A493" s="93" t="s">
        <v>96</v>
      </c>
      <c r="B493" s="94">
        <f t="shared" si="137"/>
        <v>3</v>
      </c>
      <c r="C493" s="95">
        <f t="shared" si="137"/>
        <v>14.02</v>
      </c>
      <c r="D493" s="96">
        <f>C493/$C$489</f>
        <v>0.13951636978803861</v>
      </c>
      <c r="F493" s="97" t="s">
        <v>96</v>
      </c>
      <c r="G493" s="135">
        <v>3</v>
      </c>
      <c r="H493" s="136">
        <v>14.02</v>
      </c>
      <c r="I493" s="135">
        <v>0</v>
      </c>
      <c r="J493" s="136">
        <v>0</v>
      </c>
      <c r="K493" s="135">
        <v>0</v>
      </c>
      <c r="L493" s="136">
        <v>0</v>
      </c>
      <c r="M493" s="135">
        <v>0</v>
      </c>
      <c r="N493" s="136">
        <v>0</v>
      </c>
      <c r="O493" s="135">
        <v>0</v>
      </c>
      <c r="P493" s="136">
        <v>0</v>
      </c>
      <c r="Q493" s="135">
        <v>0</v>
      </c>
      <c r="R493" s="136">
        <v>0</v>
      </c>
    </row>
    <row r="494" spans="1:18">
      <c r="A494" s="93" t="s">
        <v>100</v>
      </c>
      <c r="B494" s="94">
        <f t="shared" si="137"/>
        <v>5</v>
      </c>
      <c r="C494" s="95">
        <f t="shared" si="137"/>
        <v>33.090000000000003</v>
      </c>
      <c r="D494" s="96">
        <f>C494/$C$489</f>
        <v>0.32928649616877304</v>
      </c>
      <c r="F494" s="97" t="s">
        <v>100</v>
      </c>
      <c r="G494" s="135">
        <v>4</v>
      </c>
      <c r="H494" s="136">
        <v>32.99</v>
      </c>
      <c r="I494" s="135">
        <v>0</v>
      </c>
      <c r="J494" s="136">
        <v>0</v>
      </c>
      <c r="K494" s="135">
        <v>0</v>
      </c>
      <c r="L494" s="136">
        <v>0</v>
      </c>
      <c r="M494" s="135">
        <v>0</v>
      </c>
      <c r="N494" s="136">
        <v>0</v>
      </c>
      <c r="O494" s="135">
        <v>1</v>
      </c>
      <c r="P494" s="136">
        <v>0.1</v>
      </c>
      <c r="Q494" s="135">
        <v>0</v>
      </c>
      <c r="R494" s="136">
        <v>0</v>
      </c>
    </row>
    <row r="495" spans="1:18">
      <c r="A495" s="84" t="s">
        <v>47</v>
      </c>
      <c r="B495" s="85">
        <f>B496+B508</f>
        <v>333</v>
      </c>
      <c r="C495" s="86">
        <f>C496+C508</f>
        <v>2495.0912904210077</v>
      </c>
      <c r="D495" s="87">
        <f>D496+D508</f>
        <v>1.0000000000000002</v>
      </c>
      <c r="F495" s="84" t="s">
        <v>47</v>
      </c>
      <c r="G495" s="85">
        <f>SUM(G497:G507)</f>
        <v>28</v>
      </c>
      <c r="H495" s="86">
        <f t="shared" ref="H495:R495" si="138">SUM(H497:H507)</f>
        <v>498.38447456999995</v>
      </c>
      <c r="I495" s="85">
        <f t="shared" si="138"/>
        <v>60</v>
      </c>
      <c r="J495" s="86">
        <f t="shared" si="138"/>
        <v>1896.2819999999999</v>
      </c>
      <c r="K495" s="85">
        <f t="shared" si="138"/>
        <v>0</v>
      </c>
      <c r="L495" s="86">
        <f t="shared" si="138"/>
        <v>0</v>
      </c>
      <c r="M495" s="85">
        <f t="shared" si="138"/>
        <v>0</v>
      </c>
      <c r="N495" s="86">
        <f t="shared" si="138"/>
        <v>0</v>
      </c>
      <c r="O495" s="85">
        <f t="shared" si="138"/>
        <v>96</v>
      </c>
      <c r="P495" s="86">
        <f t="shared" si="138"/>
        <v>81.37408641100798</v>
      </c>
      <c r="Q495" s="85">
        <f t="shared" si="138"/>
        <v>149</v>
      </c>
      <c r="R495" s="86">
        <f t="shared" si="138"/>
        <v>19.050729439999998</v>
      </c>
    </row>
    <row r="496" spans="1:18">
      <c r="A496" s="88" t="s">
        <v>90</v>
      </c>
      <c r="B496" s="89">
        <f>SUM(B497:B507)</f>
        <v>184</v>
      </c>
      <c r="C496" s="90">
        <f>SUM(C497:C507)</f>
        <v>2476.0405609810077</v>
      </c>
      <c r="D496" s="91">
        <f>SUM(D497:D507)</f>
        <v>0.99236471646823587</v>
      </c>
      <c r="F496" s="92"/>
      <c r="G496" s="89"/>
      <c r="H496" s="90"/>
      <c r="I496" s="89"/>
      <c r="J496" s="90"/>
      <c r="K496" s="89"/>
      <c r="L496" s="90"/>
      <c r="M496" s="89"/>
      <c r="N496" s="90"/>
      <c r="O496" s="89"/>
      <c r="P496" s="90"/>
      <c r="Q496" s="89"/>
      <c r="R496" s="90"/>
    </row>
    <row r="497" spans="1:18">
      <c r="A497" s="93" t="s">
        <v>91</v>
      </c>
      <c r="B497" s="94">
        <f t="shared" ref="B497:B507" si="139">G497+I497+K497+M497+O497</f>
        <v>42</v>
      </c>
      <c r="C497" s="95">
        <f t="shared" ref="C497:C507" si="140">H497+J497+L497+N497+P497</f>
        <v>269.70436651993577</v>
      </c>
      <c r="D497" s="96">
        <f>C497/$C$495</f>
        <v>0.10809398740453596</v>
      </c>
      <c r="F497" s="97" t="s">
        <v>91</v>
      </c>
      <c r="G497" s="135">
        <v>6</v>
      </c>
      <c r="H497" s="136">
        <v>111.59483276999998</v>
      </c>
      <c r="I497" s="135">
        <v>12</v>
      </c>
      <c r="J497" s="136">
        <v>139.30000000000001</v>
      </c>
      <c r="K497" s="135">
        <v>0</v>
      </c>
      <c r="L497" s="136">
        <v>0</v>
      </c>
      <c r="M497" s="135">
        <v>0</v>
      </c>
      <c r="N497" s="136">
        <v>0</v>
      </c>
      <c r="O497" s="135">
        <v>24</v>
      </c>
      <c r="P497" s="136">
        <v>18.809533749935802</v>
      </c>
      <c r="Q497" s="135">
        <v>0</v>
      </c>
      <c r="R497" s="136">
        <v>0</v>
      </c>
    </row>
    <row r="498" spans="1:18">
      <c r="A498" s="93" t="s">
        <v>92</v>
      </c>
      <c r="B498" s="94">
        <f t="shared" si="139"/>
        <v>13</v>
      </c>
      <c r="C498" s="95">
        <f t="shared" si="140"/>
        <v>76.375935619999993</v>
      </c>
      <c r="D498" s="96">
        <f t="shared" ref="D498:D510" si="141">C498/$C$495</f>
        <v>3.0610477425502432E-2</v>
      </c>
      <c r="F498" s="97" t="s">
        <v>92</v>
      </c>
      <c r="G498" s="135">
        <v>2</v>
      </c>
      <c r="H498" s="136">
        <v>22.303712620000002</v>
      </c>
      <c r="I498" s="135">
        <v>5</v>
      </c>
      <c r="J498" s="136">
        <v>50.5</v>
      </c>
      <c r="K498" s="135">
        <v>0</v>
      </c>
      <c r="L498" s="136">
        <v>0</v>
      </c>
      <c r="M498" s="135">
        <v>0</v>
      </c>
      <c r="N498" s="136">
        <v>0</v>
      </c>
      <c r="O498" s="135">
        <v>6</v>
      </c>
      <c r="P498" s="136">
        <v>3.5722229999999997</v>
      </c>
      <c r="Q498" s="135">
        <v>0</v>
      </c>
      <c r="R498" s="136">
        <v>0</v>
      </c>
    </row>
    <row r="499" spans="1:18">
      <c r="A499" s="93" t="s">
        <v>93</v>
      </c>
      <c r="B499" s="94">
        <f t="shared" si="139"/>
        <v>22</v>
      </c>
      <c r="C499" s="95">
        <f t="shared" si="140"/>
        <v>594.88066180950614</v>
      </c>
      <c r="D499" s="96">
        <f t="shared" si="141"/>
        <v>0.23842039932299605</v>
      </c>
      <c r="F499" s="97" t="s">
        <v>93</v>
      </c>
      <c r="G499" s="135">
        <v>3</v>
      </c>
      <c r="H499" s="136">
        <v>78.207397390000011</v>
      </c>
      <c r="I499" s="135">
        <v>8</v>
      </c>
      <c r="J499" s="136">
        <v>508.77</v>
      </c>
      <c r="K499" s="135">
        <v>0</v>
      </c>
      <c r="L499" s="136">
        <v>0</v>
      </c>
      <c r="M499" s="135">
        <v>0</v>
      </c>
      <c r="N499" s="136">
        <v>0</v>
      </c>
      <c r="O499" s="135">
        <v>11</v>
      </c>
      <c r="P499" s="136">
        <v>7.903264419506197</v>
      </c>
      <c r="Q499" s="135">
        <v>0</v>
      </c>
      <c r="R499" s="136">
        <v>0</v>
      </c>
    </row>
    <row r="500" spans="1:18">
      <c r="A500" s="93" t="s">
        <v>94</v>
      </c>
      <c r="B500" s="94">
        <f t="shared" si="139"/>
        <v>16</v>
      </c>
      <c r="C500" s="95">
        <f t="shared" si="140"/>
        <v>154.25367777030303</v>
      </c>
      <c r="D500" s="96">
        <f t="shared" si="141"/>
        <v>6.1822859292765646E-2</v>
      </c>
      <c r="F500" s="97" t="s">
        <v>94</v>
      </c>
      <c r="G500" s="135">
        <v>3</v>
      </c>
      <c r="H500" s="136">
        <v>17.371432239999997</v>
      </c>
      <c r="I500" s="135">
        <v>6</v>
      </c>
      <c r="J500" s="136">
        <v>131.00200000000001</v>
      </c>
      <c r="K500" s="135">
        <v>0</v>
      </c>
      <c r="L500" s="136">
        <v>0</v>
      </c>
      <c r="M500" s="135">
        <v>0</v>
      </c>
      <c r="N500" s="136">
        <v>0</v>
      </c>
      <c r="O500" s="135">
        <v>7</v>
      </c>
      <c r="P500" s="136">
        <v>5.8802455303030294</v>
      </c>
      <c r="Q500" s="135">
        <v>80</v>
      </c>
      <c r="R500" s="136">
        <v>10.772532819999999</v>
      </c>
    </row>
    <row r="501" spans="1:18">
      <c r="A501" s="93" t="s">
        <v>95</v>
      </c>
      <c r="B501" s="94">
        <f t="shared" si="139"/>
        <v>10</v>
      </c>
      <c r="C501" s="95">
        <f t="shared" si="140"/>
        <v>72.419677330868367</v>
      </c>
      <c r="D501" s="96">
        <f t="shared" si="141"/>
        <v>2.9024860777197726E-2</v>
      </c>
      <c r="F501" s="97" t="s">
        <v>95</v>
      </c>
      <c r="G501" s="135">
        <v>1</v>
      </c>
      <c r="H501" s="136">
        <v>7.6316612400000006</v>
      </c>
      <c r="I501" s="135">
        <v>5</v>
      </c>
      <c r="J501" s="136">
        <v>61</v>
      </c>
      <c r="K501" s="135">
        <v>0</v>
      </c>
      <c r="L501" s="136">
        <v>0</v>
      </c>
      <c r="M501" s="135">
        <v>0</v>
      </c>
      <c r="N501" s="136">
        <v>0</v>
      </c>
      <c r="O501" s="135">
        <v>4</v>
      </c>
      <c r="P501" s="136">
        <v>3.7880160908683624</v>
      </c>
      <c r="Q501" s="135">
        <v>0</v>
      </c>
      <c r="R501" s="136">
        <v>0</v>
      </c>
    </row>
    <row r="502" spans="1:18">
      <c r="A502" s="93" t="s">
        <v>96</v>
      </c>
      <c r="B502" s="94">
        <f t="shared" si="139"/>
        <v>6</v>
      </c>
      <c r="C502" s="95">
        <f t="shared" si="140"/>
        <v>25.284571530000001</v>
      </c>
      <c r="D502" s="96">
        <f t="shared" si="141"/>
        <v>1.0133726019192518E-2</v>
      </c>
      <c r="F502" s="97" t="s">
        <v>96</v>
      </c>
      <c r="G502" s="135">
        <v>2</v>
      </c>
      <c r="H502" s="136">
        <v>21.163202420000001</v>
      </c>
      <c r="I502" s="135">
        <v>1</v>
      </c>
      <c r="J502" s="136">
        <v>1.6</v>
      </c>
      <c r="K502" s="135">
        <v>0</v>
      </c>
      <c r="L502" s="136">
        <v>0</v>
      </c>
      <c r="M502" s="135">
        <v>0</v>
      </c>
      <c r="N502" s="136">
        <v>0</v>
      </c>
      <c r="O502" s="135">
        <v>3</v>
      </c>
      <c r="P502" s="136">
        <v>2.5213691099999997</v>
      </c>
      <c r="Q502" s="135">
        <v>69</v>
      </c>
      <c r="R502" s="136">
        <v>8.2781966199999992</v>
      </c>
    </row>
    <row r="503" spans="1:18">
      <c r="A503" s="93" t="s">
        <v>97</v>
      </c>
      <c r="B503" s="94">
        <f t="shared" si="139"/>
        <v>0</v>
      </c>
      <c r="C503" s="95">
        <f t="shared" si="140"/>
        <v>0.5794784510205242</v>
      </c>
      <c r="D503" s="96">
        <f t="shared" si="141"/>
        <v>2.3224739441206829E-4</v>
      </c>
      <c r="F503" s="97" t="s">
        <v>97</v>
      </c>
      <c r="G503" s="135">
        <v>0</v>
      </c>
      <c r="H503" s="136">
        <v>0</v>
      </c>
      <c r="I503" s="135">
        <v>0</v>
      </c>
      <c r="J503" s="136">
        <v>0</v>
      </c>
      <c r="K503" s="135">
        <v>0</v>
      </c>
      <c r="L503" s="136">
        <v>0</v>
      </c>
      <c r="M503" s="135">
        <v>0</v>
      </c>
      <c r="N503" s="136">
        <v>0</v>
      </c>
      <c r="O503" s="135">
        <v>0</v>
      </c>
      <c r="P503" s="136">
        <v>0.5794784510205242</v>
      </c>
      <c r="Q503" s="135">
        <v>0</v>
      </c>
      <c r="R503" s="136">
        <v>0</v>
      </c>
    </row>
    <row r="504" spans="1:18">
      <c r="A504" s="93" t="s">
        <v>98</v>
      </c>
      <c r="B504" s="94">
        <f t="shared" si="139"/>
        <v>7</v>
      </c>
      <c r="C504" s="95">
        <f t="shared" si="140"/>
        <v>53.834628360000004</v>
      </c>
      <c r="D504" s="96">
        <f t="shared" si="141"/>
        <v>2.157621589505699E-2</v>
      </c>
      <c r="F504" s="97" t="s">
        <v>98</v>
      </c>
      <c r="G504" s="135">
        <v>3</v>
      </c>
      <c r="H504" s="136">
        <v>44.901164360000003</v>
      </c>
      <c r="I504" s="135">
        <v>0</v>
      </c>
      <c r="J504" s="136">
        <v>0</v>
      </c>
      <c r="K504" s="135">
        <v>0</v>
      </c>
      <c r="L504" s="136">
        <v>0</v>
      </c>
      <c r="M504" s="135">
        <v>0</v>
      </c>
      <c r="N504" s="136">
        <v>0</v>
      </c>
      <c r="O504" s="135">
        <v>4</v>
      </c>
      <c r="P504" s="136">
        <v>8.933463999999999</v>
      </c>
      <c r="Q504" s="135">
        <v>0</v>
      </c>
      <c r="R504" s="136">
        <v>0</v>
      </c>
    </row>
    <row r="505" spans="1:18">
      <c r="A505" s="93" t="s">
        <v>99</v>
      </c>
      <c r="B505" s="94">
        <f t="shared" si="139"/>
        <v>26</v>
      </c>
      <c r="C505" s="95">
        <f t="shared" si="140"/>
        <v>308.30719500450226</v>
      </c>
      <c r="D505" s="96">
        <f t="shared" si="141"/>
        <v>0.12356549685702291</v>
      </c>
      <c r="F505" s="97" t="s">
        <v>99</v>
      </c>
      <c r="G505" s="135">
        <v>2</v>
      </c>
      <c r="H505" s="136">
        <v>36.826702999999995</v>
      </c>
      <c r="I505" s="135">
        <v>6</v>
      </c>
      <c r="J505" s="136">
        <v>257.64</v>
      </c>
      <c r="K505" s="135">
        <v>0</v>
      </c>
      <c r="L505" s="136">
        <v>0</v>
      </c>
      <c r="M505" s="135">
        <v>0</v>
      </c>
      <c r="N505" s="136">
        <v>0</v>
      </c>
      <c r="O505" s="135">
        <v>18</v>
      </c>
      <c r="P505" s="136">
        <v>13.840492004502254</v>
      </c>
      <c r="Q505" s="135">
        <v>0</v>
      </c>
      <c r="R505" s="136">
        <v>0</v>
      </c>
    </row>
    <row r="506" spans="1:18">
      <c r="A506" s="93" t="s">
        <v>100</v>
      </c>
      <c r="B506" s="94">
        <f t="shared" si="139"/>
        <v>34</v>
      </c>
      <c r="C506" s="95">
        <f t="shared" si="140"/>
        <v>825.07442945666651</v>
      </c>
      <c r="D506" s="96">
        <f t="shared" si="141"/>
        <v>0.33067905476013587</v>
      </c>
      <c r="F506" s="97" t="s">
        <v>100</v>
      </c>
      <c r="G506" s="135">
        <v>5</v>
      </c>
      <c r="H506" s="136">
        <v>154.84813452999998</v>
      </c>
      <c r="I506" s="135">
        <v>14</v>
      </c>
      <c r="J506" s="136">
        <v>657.29</v>
      </c>
      <c r="K506" s="135">
        <v>0</v>
      </c>
      <c r="L506" s="136">
        <v>0</v>
      </c>
      <c r="M506" s="135">
        <v>0</v>
      </c>
      <c r="N506" s="136">
        <v>0</v>
      </c>
      <c r="O506" s="135">
        <v>15</v>
      </c>
      <c r="P506" s="136">
        <v>12.936294926666667</v>
      </c>
      <c r="Q506" s="135">
        <v>0</v>
      </c>
      <c r="R506" s="136">
        <v>0</v>
      </c>
    </row>
    <row r="507" spans="1:18">
      <c r="A507" s="93" t="s">
        <v>101</v>
      </c>
      <c r="B507" s="94">
        <f t="shared" si="139"/>
        <v>8</v>
      </c>
      <c r="C507" s="95">
        <f t="shared" si="140"/>
        <v>95.325939128205135</v>
      </c>
      <c r="D507" s="96">
        <f t="shared" si="141"/>
        <v>3.8205391319417567E-2</v>
      </c>
      <c r="F507" s="97" t="s">
        <v>101</v>
      </c>
      <c r="G507" s="135">
        <v>1</v>
      </c>
      <c r="H507" s="136">
        <v>3.5362339999999999</v>
      </c>
      <c r="I507" s="135">
        <v>3</v>
      </c>
      <c r="J507" s="136">
        <v>89.18</v>
      </c>
      <c r="K507" s="135">
        <v>0</v>
      </c>
      <c r="L507" s="136">
        <v>0</v>
      </c>
      <c r="M507" s="135">
        <v>0</v>
      </c>
      <c r="N507" s="136">
        <v>0</v>
      </c>
      <c r="O507" s="135">
        <v>4</v>
      </c>
      <c r="P507" s="136">
        <v>2.6097051282051287</v>
      </c>
      <c r="Q507" s="135">
        <v>0</v>
      </c>
      <c r="R507" s="136">
        <v>0</v>
      </c>
    </row>
    <row r="508" spans="1:18" ht="17.25">
      <c r="A508" s="104" t="s">
        <v>103</v>
      </c>
      <c r="B508" s="89">
        <f>SUM(B509:B510)</f>
        <v>149</v>
      </c>
      <c r="C508" s="90">
        <f>SUM(C509:C510)</f>
        <v>19.050729439999998</v>
      </c>
      <c r="D508" s="91">
        <f>SUM(D509:D510)</f>
        <v>7.6352835317642764E-3</v>
      </c>
      <c r="E508" s="123"/>
      <c r="F508" s="97"/>
      <c r="G508" s="135"/>
      <c r="H508" s="136"/>
      <c r="I508" s="135"/>
      <c r="J508" s="136"/>
      <c r="K508" s="135"/>
      <c r="L508" s="136"/>
      <c r="M508" s="135"/>
      <c r="N508" s="136"/>
      <c r="O508" s="135"/>
      <c r="P508" s="136"/>
      <c r="Q508" s="135"/>
      <c r="R508" s="136"/>
    </row>
    <row r="509" spans="1:18">
      <c r="A509" s="93" t="s">
        <v>94</v>
      </c>
      <c r="B509" s="94">
        <f>Q500</f>
        <v>80</v>
      </c>
      <c r="C509" s="95">
        <f>R500</f>
        <v>10.772532819999999</v>
      </c>
      <c r="D509" s="96">
        <f t="shared" si="141"/>
        <v>4.3174904506930092E-3</v>
      </c>
      <c r="F509" s="97"/>
      <c r="G509" s="135"/>
      <c r="H509" s="136"/>
      <c r="I509" s="135"/>
      <c r="J509" s="136"/>
      <c r="K509" s="135"/>
      <c r="L509" s="136"/>
      <c r="M509" s="135"/>
      <c r="N509" s="136"/>
      <c r="O509" s="135"/>
      <c r="P509" s="136"/>
      <c r="Q509" s="135"/>
      <c r="R509" s="136"/>
    </row>
    <row r="510" spans="1:18">
      <c r="A510" s="93" t="s">
        <v>96</v>
      </c>
      <c r="B510" s="94">
        <f>Q502</f>
        <v>69</v>
      </c>
      <c r="C510" s="95">
        <f>R502</f>
        <v>8.2781966199999992</v>
      </c>
      <c r="D510" s="96">
        <f t="shared" si="141"/>
        <v>3.3177930810712672E-3</v>
      </c>
      <c r="F510" s="97"/>
      <c r="G510" s="135"/>
      <c r="H510" s="136"/>
      <c r="I510" s="135"/>
      <c r="J510" s="136"/>
      <c r="K510" s="135"/>
      <c r="L510" s="136"/>
      <c r="M510" s="135"/>
      <c r="N510" s="136"/>
      <c r="O510" s="135"/>
      <c r="P510" s="136"/>
      <c r="Q510" s="135"/>
      <c r="R510" s="136"/>
    </row>
    <row r="511" spans="1:18">
      <c r="A511" s="84" t="s">
        <v>48</v>
      </c>
      <c r="B511" s="85">
        <f>B512+B524</f>
        <v>2327</v>
      </c>
      <c r="C511" s="86">
        <f>C512+C524</f>
        <v>9379.3058011497978</v>
      </c>
      <c r="D511" s="87">
        <f>D512+D524</f>
        <v>1</v>
      </c>
      <c r="F511" s="84" t="s">
        <v>48</v>
      </c>
      <c r="G511" s="85">
        <f>SUM(G513:G523)</f>
        <v>110</v>
      </c>
      <c r="H511" s="86">
        <f t="shared" ref="H511:R511" si="142">SUM(H513:H523)</f>
        <v>8998.288458568175</v>
      </c>
      <c r="I511" s="85">
        <f t="shared" si="142"/>
        <v>3</v>
      </c>
      <c r="J511" s="86">
        <f t="shared" si="142"/>
        <v>7</v>
      </c>
      <c r="K511" s="85">
        <f t="shared" si="142"/>
        <v>1</v>
      </c>
      <c r="L511" s="86">
        <f t="shared" si="142"/>
        <v>65.879510799999991</v>
      </c>
      <c r="M511" s="85">
        <f t="shared" si="142"/>
        <v>0</v>
      </c>
      <c r="N511" s="86">
        <f t="shared" si="142"/>
        <v>0</v>
      </c>
      <c r="O511" s="85">
        <f t="shared" si="142"/>
        <v>182</v>
      </c>
      <c r="P511" s="86">
        <f t="shared" si="142"/>
        <v>91.047768691623475</v>
      </c>
      <c r="Q511" s="85">
        <f t="shared" si="142"/>
        <v>2031</v>
      </c>
      <c r="R511" s="86">
        <f t="shared" si="142"/>
        <v>217.09006309000003</v>
      </c>
    </row>
    <row r="512" spans="1:18">
      <c r="A512" s="88" t="s">
        <v>90</v>
      </c>
      <c r="B512" s="89">
        <f>SUM(B513:B523)</f>
        <v>296</v>
      </c>
      <c r="C512" s="90">
        <f>SUM(C513:C523)</f>
        <v>9162.2157380597982</v>
      </c>
      <c r="D512" s="91">
        <f>SUM(D513:D523)</f>
        <v>0.97685435706090462</v>
      </c>
      <c r="F512" s="92"/>
      <c r="G512" s="89"/>
      <c r="H512" s="90"/>
      <c r="I512" s="89"/>
      <c r="J512" s="90"/>
      <c r="K512" s="89"/>
      <c r="L512" s="90"/>
      <c r="M512" s="89"/>
      <c r="N512" s="90"/>
      <c r="O512" s="89"/>
      <c r="P512" s="90"/>
      <c r="Q512" s="89"/>
      <c r="R512" s="90"/>
    </row>
    <row r="513" spans="1:18">
      <c r="A513" s="93" t="s">
        <v>91</v>
      </c>
      <c r="B513" s="94">
        <f t="shared" ref="B513:B523" si="143">G513+I513+K513+M513+O513</f>
        <v>45</v>
      </c>
      <c r="C513" s="95">
        <f t="shared" ref="C513:C523" si="144">H513+J513+L513+N513+P513</f>
        <v>425.11683299999999</v>
      </c>
      <c r="D513" s="96">
        <f>C513/$C$511</f>
        <v>4.5324978416620705E-2</v>
      </c>
      <c r="F513" s="97" t="s">
        <v>91</v>
      </c>
      <c r="G513" s="135">
        <v>9</v>
      </c>
      <c r="H513" s="136">
        <v>409.21</v>
      </c>
      <c r="I513" s="135">
        <v>0</v>
      </c>
      <c r="J513" s="136">
        <v>0</v>
      </c>
      <c r="K513" s="135">
        <v>0</v>
      </c>
      <c r="L513" s="136">
        <v>0</v>
      </c>
      <c r="M513" s="135">
        <v>0</v>
      </c>
      <c r="N513" s="136">
        <v>0</v>
      </c>
      <c r="O513" s="135">
        <v>36</v>
      </c>
      <c r="P513" s="136">
        <v>15.906833000000001</v>
      </c>
      <c r="Q513" s="135">
        <v>0</v>
      </c>
      <c r="R513" s="136">
        <v>0</v>
      </c>
    </row>
    <row r="514" spans="1:18">
      <c r="A514" s="93" t="s">
        <v>92</v>
      </c>
      <c r="B514" s="94">
        <f t="shared" si="143"/>
        <v>14</v>
      </c>
      <c r="C514" s="95">
        <f t="shared" si="144"/>
        <v>164.70099999999999</v>
      </c>
      <c r="D514" s="96">
        <f t="shared" ref="D514:D523" si="145">C514/$C$511</f>
        <v>1.7560041594955726E-2</v>
      </c>
      <c r="F514" s="97" t="s">
        <v>92</v>
      </c>
      <c r="G514" s="135">
        <v>5</v>
      </c>
      <c r="H514" s="136">
        <v>160.72</v>
      </c>
      <c r="I514" s="135">
        <v>0</v>
      </c>
      <c r="J514" s="136">
        <v>0</v>
      </c>
      <c r="K514" s="135">
        <v>0</v>
      </c>
      <c r="L514" s="136">
        <v>0</v>
      </c>
      <c r="M514" s="135">
        <v>0</v>
      </c>
      <c r="N514" s="136">
        <v>0</v>
      </c>
      <c r="O514" s="135">
        <v>9</v>
      </c>
      <c r="P514" s="136">
        <v>3.9809999999999999</v>
      </c>
      <c r="Q514" s="135">
        <v>0</v>
      </c>
      <c r="R514" s="136">
        <v>0</v>
      </c>
    </row>
    <row r="515" spans="1:18">
      <c r="A515" s="93" t="s">
        <v>93</v>
      </c>
      <c r="B515" s="94">
        <f t="shared" si="143"/>
        <v>67</v>
      </c>
      <c r="C515" s="95">
        <f t="shared" si="144"/>
        <v>3066.7831159359757</v>
      </c>
      <c r="D515" s="96">
        <f t="shared" si="145"/>
        <v>0.3269733582585635</v>
      </c>
      <c r="F515" s="97" t="s">
        <v>93</v>
      </c>
      <c r="G515" s="135">
        <v>46</v>
      </c>
      <c r="H515" s="136">
        <v>2990.3923454437422</v>
      </c>
      <c r="I515" s="135">
        <v>1</v>
      </c>
      <c r="J515" s="136">
        <v>2</v>
      </c>
      <c r="K515" s="135">
        <v>1</v>
      </c>
      <c r="L515" s="136">
        <v>65.879510799999991</v>
      </c>
      <c r="M515" s="135">
        <v>0</v>
      </c>
      <c r="N515" s="136">
        <v>0</v>
      </c>
      <c r="O515" s="135">
        <v>19</v>
      </c>
      <c r="P515" s="136">
        <v>8.5112596922334678</v>
      </c>
      <c r="Q515" s="135">
        <v>0</v>
      </c>
      <c r="R515" s="136">
        <v>0</v>
      </c>
    </row>
    <row r="516" spans="1:18">
      <c r="A516" s="93" t="s">
        <v>94</v>
      </c>
      <c r="B516" s="94">
        <f t="shared" si="143"/>
        <v>34</v>
      </c>
      <c r="C516" s="95">
        <f t="shared" si="144"/>
        <v>1061.1669953684211</v>
      </c>
      <c r="D516" s="96">
        <f t="shared" si="145"/>
        <v>0.11313918299138236</v>
      </c>
      <c r="F516" s="97" t="s">
        <v>94</v>
      </c>
      <c r="G516" s="135">
        <v>12</v>
      </c>
      <c r="H516" s="136">
        <v>1044.5</v>
      </c>
      <c r="I516" s="135">
        <v>0</v>
      </c>
      <c r="J516" s="136">
        <v>0</v>
      </c>
      <c r="K516" s="135">
        <v>0</v>
      </c>
      <c r="L516" s="136">
        <v>0</v>
      </c>
      <c r="M516" s="135">
        <v>0</v>
      </c>
      <c r="N516" s="136">
        <v>0</v>
      </c>
      <c r="O516" s="135">
        <v>22</v>
      </c>
      <c r="P516" s="136">
        <v>16.666995368421048</v>
      </c>
      <c r="Q516" s="135">
        <v>2005</v>
      </c>
      <c r="R516" s="136">
        <v>213.34416219000002</v>
      </c>
    </row>
    <row r="517" spans="1:18">
      <c r="A517" s="93" t="s">
        <v>95</v>
      </c>
      <c r="B517" s="94">
        <f t="shared" si="143"/>
        <v>5</v>
      </c>
      <c r="C517" s="95">
        <f t="shared" si="144"/>
        <v>506.18484109694776</v>
      </c>
      <c r="D517" s="96">
        <f t="shared" si="145"/>
        <v>5.3968262878783119E-2</v>
      </c>
      <c r="F517" s="97" t="s">
        <v>95</v>
      </c>
      <c r="G517" s="135">
        <v>1</v>
      </c>
      <c r="H517" s="136">
        <v>500</v>
      </c>
      <c r="I517" s="135">
        <v>0</v>
      </c>
      <c r="J517" s="136">
        <v>0</v>
      </c>
      <c r="K517" s="135">
        <v>0</v>
      </c>
      <c r="L517" s="136">
        <v>0</v>
      </c>
      <c r="M517" s="135">
        <v>0</v>
      </c>
      <c r="N517" s="136">
        <v>0</v>
      </c>
      <c r="O517" s="135">
        <v>4</v>
      </c>
      <c r="P517" s="136">
        <v>6.1848410969477392</v>
      </c>
      <c r="Q517" s="135">
        <v>0</v>
      </c>
      <c r="R517" s="136">
        <v>0</v>
      </c>
    </row>
    <row r="518" spans="1:18">
      <c r="A518" s="93" t="s">
        <v>106</v>
      </c>
      <c r="B518" s="94">
        <f t="shared" si="143"/>
        <v>9</v>
      </c>
      <c r="C518" s="95">
        <f t="shared" si="144"/>
        <v>91.651475000000005</v>
      </c>
      <c r="D518" s="96">
        <f t="shared" si="145"/>
        <v>9.7716693477212947E-3</v>
      </c>
      <c r="F518" s="97" t="s">
        <v>96</v>
      </c>
      <c r="G518" s="135">
        <v>3</v>
      </c>
      <c r="H518" s="136">
        <v>90.460000000000008</v>
      </c>
      <c r="I518" s="135">
        <v>0</v>
      </c>
      <c r="J518" s="136">
        <v>0</v>
      </c>
      <c r="K518" s="135">
        <v>0</v>
      </c>
      <c r="L518" s="136">
        <v>0</v>
      </c>
      <c r="M518" s="135">
        <v>0</v>
      </c>
      <c r="N518" s="136">
        <v>0</v>
      </c>
      <c r="O518" s="135">
        <v>6</v>
      </c>
      <c r="P518" s="136">
        <v>1.1914750000000001</v>
      </c>
      <c r="Q518" s="135">
        <v>26</v>
      </c>
      <c r="R518" s="136">
        <v>3.7459009000000001</v>
      </c>
    </row>
    <row r="519" spans="1:18">
      <c r="A519" s="93" t="s">
        <v>97</v>
      </c>
      <c r="B519" s="94">
        <f t="shared" si="143"/>
        <v>0</v>
      </c>
      <c r="C519" s="95">
        <f t="shared" si="144"/>
        <v>0.52386890556597876</v>
      </c>
      <c r="D519" s="96">
        <f t="shared" si="145"/>
        <v>5.5853697136280414E-5</v>
      </c>
      <c r="F519" s="97" t="s">
        <v>97</v>
      </c>
      <c r="G519" s="135">
        <v>0</v>
      </c>
      <c r="H519" s="136">
        <v>0</v>
      </c>
      <c r="I519" s="135">
        <v>0</v>
      </c>
      <c r="J519" s="136">
        <v>0</v>
      </c>
      <c r="K519" s="135">
        <v>0</v>
      </c>
      <c r="L519" s="136">
        <v>0</v>
      </c>
      <c r="M519" s="135">
        <v>0</v>
      </c>
      <c r="N519" s="136">
        <v>0</v>
      </c>
      <c r="O519" s="135">
        <v>0</v>
      </c>
      <c r="P519" s="136">
        <v>0.52386890556597876</v>
      </c>
      <c r="Q519" s="135">
        <v>0</v>
      </c>
      <c r="R519" s="136">
        <v>0</v>
      </c>
    </row>
    <row r="520" spans="1:18">
      <c r="A520" s="93" t="s">
        <v>98</v>
      </c>
      <c r="B520" s="94">
        <f t="shared" si="143"/>
        <v>9</v>
      </c>
      <c r="C520" s="95">
        <f t="shared" si="144"/>
        <v>4.6509929999999997</v>
      </c>
      <c r="D520" s="96">
        <f t="shared" si="145"/>
        <v>4.9587817036841257E-4</v>
      </c>
      <c r="F520" s="97" t="s">
        <v>98</v>
      </c>
      <c r="G520" s="135">
        <v>1</v>
      </c>
      <c r="H520" s="136">
        <v>1.38</v>
      </c>
      <c r="I520" s="135">
        <v>0</v>
      </c>
      <c r="J520" s="136">
        <v>0</v>
      </c>
      <c r="K520" s="135">
        <v>0</v>
      </c>
      <c r="L520" s="136">
        <v>0</v>
      </c>
      <c r="M520" s="135">
        <v>0</v>
      </c>
      <c r="N520" s="136">
        <v>0</v>
      </c>
      <c r="O520" s="135">
        <v>8</v>
      </c>
      <c r="P520" s="136">
        <v>3.2709929999999998</v>
      </c>
      <c r="Q520" s="135">
        <v>0</v>
      </c>
      <c r="R520" s="136">
        <v>0</v>
      </c>
    </row>
    <row r="521" spans="1:18">
      <c r="A521" s="93" t="s">
        <v>99</v>
      </c>
      <c r="B521" s="94">
        <f t="shared" si="143"/>
        <v>36</v>
      </c>
      <c r="C521" s="95">
        <f t="shared" si="144"/>
        <v>1517.4324335002502</v>
      </c>
      <c r="D521" s="96">
        <f t="shared" si="145"/>
        <v>0.16178515400513224</v>
      </c>
      <c r="F521" s="97" t="s">
        <v>99</v>
      </c>
      <c r="G521" s="135">
        <v>2</v>
      </c>
      <c r="H521" s="136">
        <v>1500</v>
      </c>
      <c r="I521" s="135">
        <v>1</v>
      </c>
      <c r="J521" s="136">
        <v>3</v>
      </c>
      <c r="K521" s="135">
        <v>0</v>
      </c>
      <c r="L521" s="136">
        <v>0</v>
      </c>
      <c r="M521" s="135">
        <v>0</v>
      </c>
      <c r="N521" s="136">
        <v>0</v>
      </c>
      <c r="O521" s="135">
        <v>33</v>
      </c>
      <c r="P521" s="136">
        <v>14.432433500250125</v>
      </c>
      <c r="Q521" s="135">
        <v>0</v>
      </c>
      <c r="R521" s="136">
        <v>0</v>
      </c>
    </row>
    <row r="522" spans="1:18">
      <c r="A522" s="93" t="s">
        <v>100</v>
      </c>
      <c r="B522" s="94">
        <f t="shared" si="143"/>
        <v>46</v>
      </c>
      <c r="C522" s="95">
        <f t="shared" si="144"/>
        <v>1717.7321211244321</v>
      </c>
      <c r="D522" s="96">
        <f t="shared" si="145"/>
        <v>0.18314064575161387</v>
      </c>
      <c r="F522" s="97" t="s">
        <v>100</v>
      </c>
      <c r="G522" s="135">
        <v>22</v>
      </c>
      <c r="H522" s="136">
        <v>1706.6261131244321</v>
      </c>
      <c r="I522" s="135">
        <v>0</v>
      </c>
      <c r="J522" s="136">
        <v>0</v>
      </c>
      <c r="K522" s="135">
        <v>0</v>
      </c>
      <c r="L522" s="136">
        <v>0</v>
      </c>
      <c r="M522" s="135">
        <v>0</v>
      </c>
      <c r="N522" s="136">
        <v>0</v>
      </c>
      <c r="O522" s="135">
        <v>24</v>
      </c>
      <c r="P522" s="136">
        <v>11.106008000000003</v>
      </c>
      <c r="Q522" s="135">
        <v>0</v>
      </c>
      <c r="R522" s="136">
        <v>0</v>
      </c>
    </row>
    <row r="523" spans="1:18">
      <c r="A523" s="93" t="s">
        <v>101</v>
      </c>
      <c r="B523" s="94">
        <f t="shared" si="143"/>
        <v>31</v>
      </c>
      <c r="C523" s="95">
        <f t="shared" si="144"/>
        <v>606.27206112820511</v>
      </c>
      <c r="D523" s="96">
        <f t="shared" si="145"/>
        <v>6.4639331948627046E-2</v>
      </c>
      <c r="F523" s="97" t="s">
        <v>101</v>
      </c>
      <c r="G523" s="135">
        <v>9</v>
      </c>
      <c r="H523" s="136">
        <v>595</v>
      </c>
      <c r="I523" s="135">
        <v>1</v>
      </c>
      <c r="J523" s="136">
        <v>2</v>
      </c>
      <c r="K523" s="135">
        <v>0</v>
      </c>
      <c r="L523" s="136">
        <v>0</v>
      </c>
      <c r="M523" s="135">
        <v>0</v>
      </c>
      <c r="N523" s="136">
        <v>0</v>
      </c>
      <c r="O523" s="135">
        <v>21</v>
      </c>
      <c r="P523" s="136">
        <v>9.2720611282051273</v>
      </c>
      <c r="Q523" s="135">
        <v>0</v>
      </c>
      <c r="R523" s="136">
        <v>0</v>
      </c>
    </row>
    <row r="524" spans="1:18" ht="17.25">
      <c r="A524" s="104" t="s">
        <v>102</v>
      </c>
      <c r="B524" s="89">
        <f>SUM(B525:B526)</f>
        <v>2031</v>
      </c>
      <c r="C524" s="90">
        <f>SUM(C525:C526)</f>
        <v>217.09006309000003</v>
      </c>
      <c r="D524" s="91">
        <f>SUM(D525:D526)</f>
        <v>2.3145642939095473E-2</v>
      </c>
      <c r="E524" s="123"/>
      <c r="F524" s="97"/>
      <c r="G524" s="135"/>
      <c r="H524" s="136"/>
      <c r="I524" s="135"/>
      <c r="J524" s="136"/>
      <c r="K524" s="135"/>
      <c r="L524" s="136"/>
      <c r="M524" s="135"/>
      <c r="N524" s="136"/>
      <c r="O524" s="135"/>
      <c r="P524" s="136"/>
      <c r="Q524" s="135"/>
      <c r="R524" s="136"/>
    </row>
    <row r="525" spans="1:18">
      <c r="A525" s="93" t="s">
        <v>94</v>
      </c>
      <c r="B525" s="94">
        <f>Q516</f>
        <v>2005</v>
      </c>
      <c r="C525" s="95">
        <f>R516</f>
        <v>213.34416219000002</v>
      </c>
      <c r="D525" s="96">
        <f>C525/$C$511</f>
        <v>2.2746263605548121E-2</v>
      </c>
      <c r="F525" s="97"/>
      <c r="G525" s="135"/>
      <c r="H525" s="136"/>
      <c r="I525" s="135"/>
      <c r="J525" s="136"/>
      <c r="K525" s="135"/>
      <c r="L525" s="136"/>
      <c r="M525" s="135"/>
      <c r="N525" s="136"/>
      <c r="O525" s="135"/>
      <c r="P525" s="136"/>
      <c r="Q525" s="135"/>
      <c r="R525" s="136"/>
    </row>
    <row r="526" spans="1:18">
      <c r="A526" s="93" t="s">
        <v>96</v>
      </c>
      <c r="B526" s="94">
        <f>Q518</f>
        <v>26</v>
      </c>
      <c r="C526" s="95">
        <f>R518</f>
        <v>3.7459009000000001</v>
      </c>
      <c r="D526" s="96">
        <f>C526/$C$511</f>
        <v>3.9937933354735E-4</v>
      </c>
      <c r="F526" s="97"/>
      <c r="G526" s="135"/>
      <c r="H526" s="136"/>
      <c r="I526" s="135"/>
      <c r="J526" s="136"/>
      <c r="K526" s="135"/>
      <c r="L526" s="136"/>
      <c r="M526" s="135"/>
      <c r="N526" s="136"/>
      <c r="O526" s="135"/>
      <c r="P526" s="136"/>
      <c r="Q526" s="135"/>
      <c r="R526" s="136"/>
    </row>
    <row r="527" spans="1:18">
      <c r="A527" s="84" t="s">
        <v>49</v>
      </c>
      <c r="B527" s="85">
        <f>SUM(B528:B538)</f>
        <v>87</v>
      </c>
      <c r="C527" s="86">
        <f>SUM(C528:C538)</f>
        <v>805.25468035023664</v>
      </c>
      <c r="D527" s="87">
        <f>SUM(D528:D538)</f>
        <v>1</v>
      </c>
      <c r="F527" s="84" t="s">
        <v>49</v>
      </c>
      <c r="G527" s="85">
        <f>SUM(G528:G538)</f>
        <v>16</v>
      </c>
      <c r="H527" s="86">
        <f t="shared" ref="H527:R527" si="146">SUM(H528:H538)</f>
        <v>615.51231467000002</v>
      </c>
      <c r="I527" s="85">
        <f t="shared" si="146"/>
        <v>12</v>
      </c>
      <c r="J527" s="86">
        <f t="shared" si="146"/>
        <v>123.12</v>
      </c>
      <c r="K527" s="85">
        <f t="shared" si="146"/>
        <v>0</v>
      </c>
      <c r="L527" s="86">
        <f t="shared" si="146"/>
        <v>0</v>
      </c>
      <c r="M527" s="85">
        <f t="shared" si="146"/>
        <v>0</v>
      </c>
      <c r="N527" s="86">
        <f t="shared" si="146"/>
        <v>0</v>
      </c>
      <c r="O527" s="85">
        <f t="shared" si="146"/>
        <v>59</v>
      </c>
      <c r="P527" s="86">
        <f t="shared" si="146"/>
        <v>66.622365680236527</v>
      </c>
      <c r="Q527" s="85">
        <f t="shared" si="146"/>
        <v>0</v>
      </c>
      <c r="R527" s="86">
        <f t="shared" si="146"/>
        <v>0</v>
      </c>
    </row>
    <row r="528" spans="1:18">
      <c r="A528" s="99" t="s">
        <v>91</v>
      </c>
      <c r="B528" s="94">
        <f t="shared" ref="B528:B538" si="147">G528+I528+K528+M528+O528</f>
        <v>5</v>
      </c>
      <c r="C528" s="95">
        <f t="shared" ref="C528:C538" si="148">H528+J528+L528+N528+P528</f>
        <v>8.1146825000000007</v>
      </c>
      <c r="D528" s="96">
        <f>C528/$C$527</f>
        <v>1.0077162788387158E-2</v>
      </c>
      <c r="F528" s="97" t="s">
        <v>91</v>
      </c>
      <c r="G528" s="135">
        <v>0</v>
      </c>
      <c r="H528" s="136">
        <v>0</v>
      </c>
      <c r="I528" s="135">
        <v>2</v>
      </c>
      <c r="J528" s="136">
        <v>4</v>
      </c>
      <c r="K528" s="135">
        <v>0</v>
      </c>
      <c r="L528" s="136">
        <v>0</v>
      </c>
      <c r="M528" s="135">
        <v>0</v>
      </c>
      <c r="N528" s="136">
        <v>0</v>
      </c>
      <c r="O528" s="135">
        <v>3</v>
      </c>
      <c r="P528" s="136">
        <v>4.1146824999999998</v>
      </c>
      <c r="Q528" s="135">
        <v>0</v>
      </c>
      <c r="R528" s="136">
        <v>0</v>
      </c>
    </row>
    <row r="529" spans="1:18">
      <c r="A529" s="99" t="s">
        <v>92</v>
      </c>
      <c r="B529" s="94">
        <f t="shared" si="147"/>
        <v>3</v>
      </c>
      <c r="C529" s="95">
        <f t="shared" si="148"/>
        <v>13.5</v>
      </c>
      <c r="D529" s="96">
        <f t="shared" ref="D529:D538" si="149">C529/$C$527</f>
        <v>1.6764882377496178E-2</v>
      </c>
      <c r="F529" s="97" t="s">
        <v>92</v>
      </c>
      <c r="G529" s="135">
        <v>0</v>
      </c>
      <c r="H529" s="136">
        <v>0</v>
      </c>
      <c r="I529" s="135">
        <v>1</v>
      </c>
      <c r="J529" s="136">
        <v>12</v>
      </c>
      <c r="K529" s="135">
        <v>0</v>
      </c>
      <c r="L529" s="136">
        <v>0</v>
      </c>
      <c r="M529" s="135">
        <v>0</v>
      </c>
      <c r="N529" s="136">
        <v>0</v>
      </c>
      <c r="O529" s="135">
        <v>2</v>
      </c>
      <c r="P529" s="136">
        <v>1.5</v>
      </c>
      <c r="Q529" s="135">
        <v>0</v>
      </c>
      <c r="R529" s="136">
        <v>0</v>
      </c>
    </row>
    <row r="530" spans="1:18">
      <c r="A530" s="99" t="s">
        <v>93</v>
      </c>
      <c r="B530" s="94">
        <f t="shared" si="147"/>
        <v>5</v>
      </c>
      <c r="C530" s="95">
        <f t="shared" si="148"/>
        <v>4.9974256922334694</v>
      </c>
      <c r="D530" s="96">
        <f t="shared" si="149"/>
        <v>6.2060188089312247E-3</v>
      </c>
      <c r="F530" s="97" t="s">
        <v>93</v>
      </c>
      <c r="G530" s="135">
        <v>0</v>
      </c>
      <c r="H530" s="136">
        <v>0</v>
      </c>
      <c r="I530" s="135">
        <v>0</v>
      </c>
      <c r="J530" s="136">
        <v>0</v>
      </c>
      <c r="K530" s="135">
        <v>0</v>
      </c>
      <c r="L530" s="136">
        <v>0</v>
      </c>
      <c r="M530" s="135">
        <v>0</v>
      </c>
      <c r="N530" s="136">
        <v>0</v>
      </c>
      <c r="O530" s="135">
        <v>5</v>
      </c>
      <c r="P530" s="136">
        <v>4.9974256922334694</v>
      </c>
      <c r="Q530" s="135">
        <v>0</v>
      </c>
      <c r="R530" s="136">
        <v>0</v>
      </c>
    </row>
    <row r="531" spans="1:18">
      <c r="A531" s="99" t="s">
        <v>94</v>
      </c>
      <c r="B531" s="94">
        <f t="shared" si="147"/>
        <v>5</v>
      </c>
      <c r="C531" s="95">
        <f t="shared" si="148"/>
        <v>4.3900600000000001</v>
      </c>
      <c r="D531" s="96">
        <f t="shared" si="149"/>
        <v>5.451765891122287E-3</v>
      </c>
      <c r="F531" s="97" t="s">
        <v>94</v>
      </c>
      <c r="G531" s="135">
        <v>0</v>
      </c>
      <c r="H531" s="136">
        <v>0</v>
      </c>
      <c r="I531" s="135">
        <v>0</v>
      </c>
      <c r="J531" s="136">
        <v>0</v>
      </c>
      <c r="K531" s="135">
        <v>0</v>
      </c>
      <c r="L531" s="136">
        <v>0</v>
      </c>
      <c r="M531" s="135">
        <v>0</v>
      </c>
      <c r="N531" s="136">
        <v>0</v>
      </c>
      <c r="O531" s="135">
        <v>5</v>
      </c>
      <c r="P531" s="136">
        <v>4.3900600000000001</v>
      </c>
      <c r="Q531" s="135">
        <v>0</v>
      </c>
      <c r="R531" s="136">
        <v>0</v>
      </c>
    </row>
    <row r="532" spans="1:18">
      <c r="A532" s="99" t="s">
        <v>95</v>
      </c>
      <c r="B532" s="94">
        <f t="shared" si="147"/>
        <v>0</v>
      </c>
      <c r="C532" s="95">
        <f t="shared" si="148"/>
        <v>2.1254051230630289</v>
      </c>
      <c r="D532" s="96">
        <f t="shared" si="149"/>
        <v>2.6394197698281089E-3</v>
      </c>
      <c r="F532" s="97" t="s">
        <v>95</v>
      </c>
      <c r="G532" s="135">
        <v>0</v>
      </c>
      <c r="H532" s="136">
        <v>0</v>
      </c>
      <c r="I532" s="135">
        <v>0</v>
      </c>
      <c r="J532" s="136">
        <v>0</v>
      </c>
      <c r="K532" s="135">
        <v>0</v>
      </c>
      <c r="L532" s="136">
        <v>0</v>
      </c>
      <c r="M532" s="135">
        <v>0</v>
      </c>
      <c r="N532" s="136">
        <v>0</v>
      </c>
      <c r="O532" s="135">
        <v>0</v>
      </c>
      <c r="P532" s="136">
        <v>2.1254051230630289</v>
      </c>
      <c r="Q532" s="135">
        <v>0</v>
      </c>
      <c r="R532" s="136">
        <v>0</v>
      </c>
    </row>
    <row r="533" spans="1:18">
      <c r="A533" s="99" t="s">
        <v>96</v>
      </c>
      <c r="B533" s="94">
        <f t="shared" si="147"/>
        <v>1</v>
      </c>
      <c r="C533" s="95">
        <f t="shared" si="148"/>
        <v>1.8343750000000001</v>
      </c>
      <c r="D533" s="96">
        <f t="shared" si="149"/>
        <v>2.2780060082384854E-3</v>
      </c>
      <c r="F533" s="97" t="s">
        <v>96</v>
      </c>
      <c r="G533" s="135">
        <v>0</v>
      </c>
      <c r="H533" s="136">
        <v>0</v>
      </c>
      <c r="I533" s="135">
        <v>0</v>
      </c>
      <c r="J533" s="136">
        <v>0</v>
      </c>
      <c r="K533" s="135">
        <v>0</v>
      </c>
      <c r="L533" s="136">
        <v>0</v>
      </c>
      <c r="M533" s="135">
        <v>0</v>
      </c>
      <c r="N533" s="136">
        <v>0</v>
      </c>
      <c r="O533" s="135">
        <v>1</v>
      </c>
      <c r="P533" s="136">
        <v>1.8343750000000001</v>
      </c>
      <c r="Q533" s="135">
        <v>0</v>
      </c>
      <c r="R533" s="136">
        <v>0</v>
      </c>
    </row>
    <row r="534" spans="1:18">
      <c r="A534" s="99" t="s">
        <v>97</v>
      </c>
      <c r="B534" s="94">
        <f t="shared" si="147"/>
        <v>0</v>
      </c>
      <c r="C534" s="95">
        <f t="shared" si="148"/>
        <v>0.58636890556597876</v>
      </c>
      <c r="D534" s="96">
        <f t="shared" si="149"/>
        <v>7.2817820234331832E-4</v>
      </c>
      <c r="F534" s="97" t="s">
        <v>97</v>
      </c>
      <c r="G534" s="135">
        <v>0</v>
      </c>
      <c r="H534" s="136">
        <v>0</v>
      </c>
      <c r="I534" s="135">
        <v>0</v>
      </c>
      <c r="J534" s="136">
        <v>0</v>
      </c>
      <c r="K534" s="135">
        <v>0</v>
      </c>
      <c r="L534" s="136">
        <v>0</v>
      </c>
      <c r="M534" s="135">
        <v>0</v>
      </c>
      <c r="N534" s="136">
        <v>0</v>
      </c>
      <c r="O534" s="135">
        <v>0</v>
      </c>
      <c r="P534" s="136">
        <v>0.58636890556597876</v>
      </c>
      <c r="Q534" s="135">
        <v>0</v>
      </c>
      <c r="R534" s="136">
        <v>0</v>
      </c>
    </row>
    <row r="535" spans="1:18">
      <c r="A535" s="99" t="s">
        <v>98</v>
      </c>
      <c r="B535" s="94">
        <f t="shared" si="147"/>
        <v>4</v>
      </c>
      <c r="C535" s="95">
        <f t="shared" si="148"/>
        <v>18.196463000000001</v>
      </c>
      <c r="D535" s="96">
        <f t="shared" si="149"/>
        <v>2.2597152731960092E-2</v>
      </c>
      <c r="F535" s="97" t="s">
        <v>98</v>
      </c>
      <c r="G535" s="135">
        <v>0</v>
      </c>
      <c r="H535" s="136">
        <v>0</v>
      </c>
      <c r="I535" s="135">
        <v>0</v>
      </c>
      <c r="J535" s="136">
        <v>0</v>
      </c>
      <c r="K535" s="135">
        <v>0</v>
      </c>
      <c r="L535" s="136">
        <v>0</v>
      </c>
      <c r="M535" s="135">
        <v>0</v>
      </c>
      <c r="N535" s="136">
        <v>0</v>
      </c>
      <c r="O535" s="135">
        <v>4</v>
      </c>
      <c r="P535" s="136">
        <v>18.196463000000001</v>
      </c>
      <c r="Q535" s="135">
        <v>0</v>
      </c>
      <c r="R535" s="136">
        <v>0</v>
      </c>
    </row>
    <row r="536" spans="1:18">
      <c r="A536" s="99" t="s">
        <v>99</v>
      </c>
      <c r="B536" s="94">
        <f t="shared" si="147"/>
        <v>20</v>
      </c>
      <c r="C536" s="95">
        <f t="shared" si="148"/>
        <v>12.624527071168917</v>
      </c>
      <c r="D536" s="96">
        <f t="shared" si="149"/>
        <v>1.567768232738246E-2</v>
      </c>
      <c r="F536" s="97" t="s">
        <v>99</v>
      </c>
      <c r="G536" s="135">
        <v>0</v>
      </c>
      <c r="H536" s="136">
        <v>0</v>
      </c>
      <c r="I536" s="135">
        <v>1</v>
      </c>
      <c r="J536" s="136">
        <v>1</v>
      </c>
      <c r="K536" s="135">
        <v>0</v>
      </c>
      <c r="L536" s="136">
        <v>0</v>
      </c>
      <c r="M536" s="135">
        <v>0</v>
      </c>
      <c r="N536" s="136">
        <v>0</v>
      </c>
      <c r="O536" s="135">
        <v>19</v>
      </c>
      <c r="P536" s="136">
        <v>11.624527071168917</v>
      </c>
      <c r="Q536" s="135">
        <v>0</v>
      </c>
      <c r="R536" s="136">
        <v>0</v>
      </c>
    </row>
    <row r="537" spans="1:18">
      <c r="A537" s="99" t="s">
        <v>100</v>
      </c>
      <c r="B537" s="94">
        <f t="shared" si="147"/>
        <v>32</v>
      </c>
      <c r="C537" s="95">
        <f t="shared" si="148"/>
        <v>536.16516793000005</v>
      </c>
      <c r="D537" s="96">
        <f t="shared" si="149"/>
        <v>0.66583303520421755</v>
      </c>
      <c r="F537" s="97" t="s">
        <v>100</v>
      </c>
      <c r="G537" s="135">
        <v>13</v>
      </c>
      <c r="H537" s="136">
        <v>441.51231467000002</v>
      </c>
      <c r="I537" s="135">
        <v>5</v>
      </c>
      <c r="J537" s="136">
        <v>86.12</v>
      </c>
      <c r="K537" s="135">
        <v>0</v>
      </c>
      <c r="L537" s="136">
        <v>0</v>
      </c>
      <c r="M537" s="135">
        <v>0</v>
      </c>
      <c r="N537" s="136">
        <v>0</v>
      </c>
      <c r="O537" s="135">
        <v>14</v>
      </c>
      <c r="P537" s="136">
        <v>8.5328532600000013</v>
      </c>
      <c r="Q537" s="135">
        <v>0</v>
      </c>
      <c r="R537" s="136">
        <v>0</v>
      </c>
    </row>
    <row r="538" spans="1:18">
      <c r="A538" s="99" t="s">
        <v>101</v>
      </c>
      <c r="B538" s="94">
        <f t="shared" si="147"/>
        <v>12</v>
      </c>
      <c r="C538" s="95">
        <f t="shared" si="148"/>
        <v>202.72020512820512</v>
      </c>
      <c r="D538" s="96">
        <f t="shared" si="149"/>
        <v>0.25174669589009308</v>
      </c>
      <c r="F538" s="97" t="s">
        <v>101</v>
      </c>
      <c r="G538" s="135">
        <v>3</v>
      </c>
      <c r="H538" s="136">
        <v>174</v>
      </c>
      <c r="I538" s="135">
        <v>3</v>
      </c>
      <c r="J538" s="136">
        <v>20</v>
      </c>
      <c r="K538" s="135">
        <v>0</v>
      </c>
      <c r="L538" s="136">
        <v>0</v>
      </c>
      <c r="M538" s="135">
        <v>0</v>
      </c>
      <c r="N538" s="136">
        <v>0</v>
      </c>
      <c r="O538" s="135">
        <v>6</v>
      </c>
      <c r="P538" s="136">
        <v>8.7202051282051301</v>
      </c>
      <c r="Q538" s="135">
        <v>0</v>
      </c>
      <c r="R538" s="136">
        <v>0</v>
      </c>
    </row>
    <row r="539" spans="1:18">
      <c r="A539" s="84" t="s">
        <v>50</v>
      </c>
      <c r="B539" s="85">
        <f>SUM(B540:B550)</f>
        <v>128</v>
      </c>
      <c r="C539" s="86">
        <f>SUM(C540:C550)</f>
        <v>403.25324350734797</v>
      </c>
      <c r="D539" s="87">
        <f>SUM(D540:D550)</f>
        <v>0.99999999999999967</v>
      </c>
      <c r="F539" s="84" t="s">
        <v>50</v>
      </c>
      <c r="G539" s="85">
        <f>SUM(G540:G550)</f>
        <v>19</v>
      </c>
      <c r="H539" s="86">
        <f t="shared" ref="H539:R539" si="150">SUM(H540:H550)</f>
        <v>70.173168170000011</v>
      </c>
      <c r="I539" s="85">
        <f t="shared" si="150"/>
        <v>43</v>
      </c>
      <c r="J539" s="86">
        <f t="shared" si="150"/>
        <v>296.88589431000003</v>
      </c>
      <c r="K539" s="85">
        <f t="shared" si="150"/>
        <v>0</v>
      </c>
      <c r="L539" s="86">
        <f t="shared" si="150"/>
        <v>0</v>
      </c>
      <c r="M539" s="85">
        <f t="shared" si="150"/>
        <v>0</v>
      </c>
      <c r="N539" s="86">
        <f t="shared" si="150"/>
        <v>0</v>
      </c>
      <c r="O539" s="85">
        <f t="shared" si="150"/>
        <v>66</v>
      </c>
      <c r="P539" s="86">
        <f t="shared" si="150"/>
        <v>36.194181027347867</v>
      </c>
      <c r="Q539" s="85">
        <f t="shared" si="150"/>
        <v>0</v>
      </c>
      <c r="R539" s="86">
        <f t="shared" si="150"/>
        <v>0</v>
      </c>
    </row>
    <row r="540" spans="1:18">
      <c r="A540" s="99" t="s">
        <v>91</v>
      </c>
      <c r="B540" s="94">
        <f t="shared" ref="B540:B550" si="151">G540+I540+K540+M540+O540</f>
        <v>12</v>
      </c>
      <c r="C540" s="95">
        <f t="shared" ref="C540:C550" si="152">H540+J540+L540+N540+P540</f>
        <v>28.27518486</v>
      </c>
      <c r="D540" s="96">
        <f>C540/$C$539</f>
        <v>7.0117687372016832E-2</v>
      </c>
      <c r="F540" s="97" t="s">
        <v>91</v>
      </c>
      <c r="G540" s="135">
        <v>2</v>
      </c>
      <c r="H540" s="136">
        <v>6.1641848600000007</v>
      </c>
      <c r="I540" s="135">
        <v>1</v>
      </c>
      <c r="J540" s="136">
        <v>19.25</v>
      </c>
      <c r="K540" s="135">
        <v>0</v>
      </c>
      <c r="L540" s="136">
        <v>0</v>
      </c>
      <c r="M540" s="135">
        <v>0</v>
      </c>
      <c r="N540" s="136">
        <v>0</v>
      </c>
      <c r="O540" s="135">
        <v>9</v>
      </c>
      <c r="P540" s="136">
        <v>2.8609999999999998</v>
      </c>
      <c r="Q540" s="135">
        <v>0</v>
      </c>
      <c r="R540" s="136">
        <v>0</v>
      </c>
    </row>
    <row r="541" spans="1:18">
      <c r="A541" s="99" t="s">
        <v>92</v>
      </c>
      <c r="B541" s="94">
        <f t="shared" si="151"/>
        <v>0</v>
      </c>
      <c r="C541" s="95">
        <f t="shared" si="152"/>
        <v>1.4120851028571431</v>
      </c>
      <c r="D541" s="96">
        <f t="shared" ref="D541:D550" si="153">C541/$C$539</f>
        <v>3.5017327835365876E-3</v>
      </c>
      <c r="F541" s="97" t="s">
        <v>92</v>
      </c>
      <c r="G541" s="135">
        <v>0</v>
      </c>
      <c r="H541" s="136">
        <v>0</v>
      </c>
      <c r="I541" s="135">
        <v>0</v>
      </c>
      <c r="J541" s="136">
        <v>0</v>
      </c>
      <c r="K541" s="135">
        <v>0</v>
      </c>
      <c r="L541" s="136">
        <v>0</v>
      </c>
      <c r="M541" s="135">
        <v>0</v>
      </c>
      <c r="N541" s="136">
        <v>0</v>
      </c>
      <c r="O541" s="135">
        <v>0</v>
      </c>
      <c r="P541" s="136">
        <v>1.4120851028571431</v>
      </c>
      <c r="Q541" s="135">
        <v>0</v>
      </c>
      <c r="R541" s="136">
        <v>0</v>
      </c>
    </row>
    <row r="542" spans="1:18">
      <c r="A542" s="99" t="s">
        <v>93</v>
      </c>
      <c r="B542" s="94">
        <f t="shared" si="151"/>
        <v>25</v>
      </c>
      <c r="C542" s="95">
        <f t="shared" si="152"/>
        <v>109.69875896223346</v>
      </c>
      <c r="D542" s="96">
        <f t="shared" si="153"/>
        <v>0.27203441194449945</v>
      </c>
      <c r="F542" s="97" t="s">
        <v>93</v>
      </c>
      <c r="G542" s="135">
        <v>3</v>
      </c>
      <c r="H542" s="136">
        <v>13.952552409999999</v>
      </c>
      <c r="I542" s="135">
        <v>17</v>
      </c>
      <c r="J542" s="136">
        <v>92.937135309999988</v>
      </c>
      <c r="K542" s="135">
        <v>0</v>
      </c>
      <c r="L542" s="136">
        <v>0</v>
      </c>
      <c r="M542" s="135">
        <v>0</v>
      </c>
      <c r="N542" s="136">
        <v>0</v>
      </c>
      <c r="O542" s="135">
        <v>5</v>
      </c>
      <c r="P542" s="136">
        <v>2.8090712422334683</v>
      </c>
      <c r="Q542" s="135">
        <v>0</v>
      </c>
      <c r="R542" s="136">
        <v>0</v>
      </c>
    </row>
    <row r="543" spans="1:18">
      <c r="A543" s="99" t="s">
        <v>94</v>
      </c>
      <c r="B543" s="94">
        <f t="shared" si="151"/>
        <v>10</v>
      </c>
      <c r="C543" s="95">
        <f t="shared" si="152"/>
        <v>11.969573748421054</v>
      </c>
      <c r="D543" s="96">
        <f t="shared" si="153"/>
        <v>2.968252318149785E-2</v>
      </c>
      <c r="F543" s="97" t="s">
        <v>94</v>
      </c>
      <c r="G543" s="135">
        <v>2</v>
      </c>
      <c r="H543" s="136">
        <v>6.7493364000000007</v>
      </c>
      <c r="I543" s="135">
        <v>0</v>
      </c>
      <c r="J543" s="136">
        <v>0</v>
      </c>
      <c r="K543" s="135">
        <v>0</v>
      </c>
      <c r="L543" s="136">
        <v>0</v>
      </c>
      <c r="M543" s="135">
        <v>0</v>
      </c>
      <c r="N543" s="136">
        <v>0</v>
      </c>
      <c r="O543" s="135">
        <v>8</v>
      </c>
      <c r="P543" s="136">
        <v>5.2202373484210529</v>
      </c>
      <c r="Q543" s="135">
        <v>0</v>
      </c>
      <c r="R543" s="136">
        <v>0</v>
      </c>
    </row>
    <row r="544" spans="1:18">
      <c r="A544" s="99" t="s">
        <v>95</v>
      </c>
      <c r="B544" s="94">
        <f t="shared" si="151"/>
        <v>5</v>
      </c>
      <c r="C544" s="95">
        <f t="shared" si="152"/>
        <v>19.381689475312726</v>
      </c>
      <c r="D544" s="96">
        <f t="shared" si="153"/>
        <v>4.806331948315639E-2</v>
      </c>
      <c r="F544" s="97" t="s">
        <v>95</v>
      </c>
      <c r="G544" s="135">
        <v>0</v>
      </c>
      <c r="H544" s="136">
        <v>0</v>
      </c>
      <c r="I544" s="135">
        <v>5</v>
      </c>
      <c r="J544" s="136">
        <v>18.350000000000001</v>
      </c>
      <c r="K544" s="135">
        <v>0</v>
      </c>
      <c r="L544" s="136">
        <v>0</v>
      </c>
      <c r="M544" s="135">
        <v>0</v>
      </c>
      <c r="N544" s="136">
        <v>0</v>
      </c>
      <c r="O544" s="135">
        <v>0</v>
      </c>
      <c r="P544" s="136">
        <v>1.0316894753127246</v>
      </c>
      <c r="Q544" s="135">
        <v>0</v>
      </c>
      <c r="R544" s="136">
        <v>0</v>
      </c>
    </row>
    <row r="545" spans="1:18">
      <c r="A545" s="99" t="s">
        <v>96</v>
      </c>
      <c r="B545" s="94">
        <f t="shared" si="151"/>
        <v>7</v>
      </c>
      <c r="C545" s="95">
        <f t="shared" si="152"/>
        <v>2.9084289999999999</v>
      </c>
      <c r="D545" s="96">
        <f t="shared" si="153"/>
        <v>7.2124131592930466E-3</v>
      </c>
      <c r="F545" s="97" t="s">
        <v>96</v>
      </c>
      <c r="G545" s="135">
        <v>1</v>
      </c>
      <c r="H545" s="136">
        <v>0.37</v>
      </c>
      <c r="I545" s="135">
        <v>0</v>
      </c>
      <c r="J545" s="136">
        <v>0</v>
      </c>
      <c r="K545" s="135">
        <v>0</v>
      </c>
      <c r="L545" s="136">
        <v>0</v>
      </c>
      <c r="M545" s="135">
        <v>0</v>
      </c>
      <c r="N545" s="136">
        <v>0</v>
      </c>
      <c r="O545" s="135">
        <v>6</v>
      </c>
      <c r="P545" s="136">
        <v>2.5384289999999998</v>
      </c>
      <c r="Q545" s="135">
        <v>0</v>
      </c>
      <c r="R545" s="136">
        <v>0</v>
      </c>
    </row>
    <row r="546" spans="1:18">
      <c r="A546" s="99" t="s">
        <v>97</v>
      </c>
      <c r="B546" s="94">
        <f t="shared" si="151"/>
        <v>1</v>
      </c>
      <c r="C546" s="95">
        <f t="shared" si="152"/>
        <v>9.9663689055659788</v>
      </c>
      <c r="D546" s="96">
        <f t="shared" si="153"/>
        <v>2.4714913186766156E-2</v>
      </c>
      <c r="F546" s="97" t="s">
        <v>97</v>
      </c>
      <c r="G546" s="135">
        <v>0</v>
      </c>
      <c r="H546" s="136">
        <v>0</v>
      </c>
      <c r="I546" s="135">
        <v>1</v>
      </c>
      <c r="J546" s="136">
        <v>9.6999999999999993</v>
      </c>
      <c r="K546" s="135">
        <v>0</v>
      </c>
      <c r="L546" s="136">
        <v>0</v>
      </c>
      <c r="M546" s="135">
        <v>0</v>
      </c>
      <c r="N546" s="136">
        <v>0</v>
      </c>
      <c r="O546" s="135">
        <v>0</v>
      </c>
      <c r="P546" s="136">
        <v>0.26636890556597881</v>
      </c>
      <c r="Q546" s="135">
        <v>0</v>
      </c>
      <c r="R546" s="136">
        <v>0</v>
      </c>
    </row>
    <row r="547" spans="1:18">
      <c r="A547" s="99" t="s">
        <v>98</v>
      </c>
      <c r="B547" s="94">
        <f t="shared" si="151"/>
        <v>10</v>
      </c>
      <c r="C547" s="95">
        <f t="shared" si="152"/>
        <v>23.14160627</v>
      </c>
      <c r="D547" s="96">
        <f t="shared" si="153"/>
        <v>5.7387278695449156E-2</v>
      </c>
      <c r="F547" s="97" t="s">
        <v>98</v>
      </c>
      <c r="G547" s="135">
        <v>5</v>
      </c>
      <c r="H547" s="136">
        <v>11.575612270000001</v>
      </c>
      <c r="I547" s="135">
        <v>1</v>
      </c>
      <c r="J547" s="136">
        <v>10</v>
      </c>
      <c r="K547" s="135">
        <v>0</v>
      </c>
      <c r="L547" s="136">
        <v>0</v>
      </c>
      <c r="M547" s="135">
        <v>0</v>
      </c>
      <c r="N547" s="136">
        <v>0</v>
      </c>
      <c r="O547" s="135">
        <v>4</v>
      </c>
      <c r="P547" s="136">
        <v>1.5659940000000001</v>
      </c>
      <c r="Q547" s="135">
        <v>0</v>
      </c>
      <c r="R547" s="136">
        <v>0</v>
      </c>
    </row>
    <row r="548" spans="1:18">
      <c r="A548" s="99" t="s">
        <v>99</v>
      </c>
      <c r="B548" s="94">
        <f t="shared" si="151"/>
        <v>40</v>
      </c>
      <c r="C548" s="95">
        <f t="shared" si="152"/>
        <v>85.061397344752379</v>
      </c>
      <c r="D548" s="96">
        <f t="shared" si="153"/>
        <v>0.21093791237714474</v>
      </c>
      <c r="F548" s="97" t="s">
        <v>99</v>
      </c>
      <c r="G548" s="135">
        <v>4</v>
      </c>
      <c r="H548" s="136">
        <v>19.070983130000002</v>
      </c>
      <c r="I548" s="135">
        <v>12</v>
      </c>
      <c r="J548" s="136">
        <v>52.55</v>
      </c>
      <c r="K548" s="135">
        <v>0</v>
      </c>
      <c r="L548" s="136">
        <v>0</v>
      </c>
      <c r="M548" s="135">
        <v>0</v>
      </c>
      <c r="N548" s="136">
        <v>0</v>
      </c>
      <c r="O548" s="135">
        <v>24</v>
      </c>
      <c r="P548" s="136">
        <v>13.440414214752373</v>
      </c>
      <c r="Q548" s="135">
        <v>0</v>
      </c>
      <c r="R548" s="136">
        <v>0</v>
      </c>
    </row>
    <row r="549" spans="1:18">
      <c r="A549" s="99" t="s">
        <v>100</v>
      </c>
      <c r="B549" s="94">
        <f t="shared" si="151"/>
        <v>9</v>
      </c>
      <c r="C549" s="95">
        <f t="shared" si="152"/>
        <v>64.136185709999992</v>
      </c>
      <c r="D549" s="96">
        <f t="shared" si="153"/>
        <v>0.15904691838847249</v>
      </c>
      <c r="F549" s="97" t="s">
        <v>100</v>
      </c>
      <c r="G549" s="135">
        <v>2</v>
      </c>
      <c r="H549" s="136">
        <v>12.2904991</v>
      </c>
      <c r="I549" s="135">
        <v>2</v>
      </c>
      <c r="J549" s="136">
        <v>50</v>
      </c>
      <c r="K549" s="135">
        <v>0</v>
      </c>
      <c r="L549" s="136">
        <v>0</v>
      </c>
      <c r="M549" s="135">
        <v>0</v>
      </c>
      <c r="N549" s="136">
        <v>0</v>
      </c>
      <c r="O549" s="135">
        <v>5</v>
      </c>
      <c r="P549" s="136">
        <v>1.84568661</v>
      </c>
      <c r="Q549" s="135">
        <v>0</v>
      </c>
      <c r="R549" s="136">
        <v>0</v>
      </c>
    </row>
    <row r="550" spans="1:18">
      <c r="A550" s="99" t="s">
        <v>101</v>
      </c>
      <c r="B550" s="94">
        <f t="shared" si="151"/>
        <v>9</v>
      </c>
      <c r="C550" s="95">
        <f t="shared" si="152"/>
        <v>47.301964128205128</v>
      </c>
      <c r="D550" s="96">
        <f t="shared" si="153"/>
        <v>0.11730088942816701</v>
      </c>
      <c r="F550" s="97" t="s">
        <v>101</v>
      </c>
      <c r="G550" s="135">
        <v>0</v>
      </c>
      <c r="H550" s="136">
        <v>0</v>
      </c>
      <c r="I550" s="135">
        <v>4</v>
      </c>
      <c r="J550" s="136">
        <v>44.098759000000001</v>
      </c>
      <c r="K550" s="135">
        <v>0</v>
      </c>
      <c r="L550" s="136">
        <v>0</v>
      </c>
      <c r="M550" s="135">
        <v>0</v>
      </c>
      <c r="N550" s="136">
        <v>0</v>
      </c>
      <c r="O550" s="135">
        <v>5</v>
      </c>
      <c r="P550" s="136">
        <v>3.2032051282051275</v>
      </c>
      <c r="Q550" s="135">
        <v>0</v>
      </c>
      <c r="R550" s="136">
        <v>0</v>
      </c>
    </row>
    <row r="551" spans="1:18">
      <c r="A551" s="84" t="s">
        <v>51</v>
      </c>
      <c r="B551" s="85">
        <f>SUM(B552:B562)</f>
        <v>15</v>
      </c>
      <c r="C551" s="86">
        <f>SUM(C552:C562)</f>
        <v>636.24966178301111</v>
      </c>
      <c r="D551" s="87">
        <f>SUM(D552:D562)</f>
        <v>0.99999999999999989</v>
      </c>
      <c r="F551" s="84" t="s">
        <v>51</v>
      </c>
      <c r="G551" s="85">
        <f>SUM(G552:G562)</f>
        <v>2</v>
      </c>
      <c r="H551" s="86">
        <f t="shared" ref="H551:P551" si="154">SUM(H552:H562)</f>
        <v>625</v>
      </c>
      <c r="I551" s="85">
        <f t="shared" si="154"/>
        <v>0</v>
      </c>
      <c r="J551" s="86">
        <f t="shared" si="154"/>
        <v>0</v>
      </c>
      <c r="K551" s="85">
        <f t="shared" si="154"/>
        <v>0</v>
      </c>
      <c r="L551" s="86">
        <f t="shared" si="154"/>
        <v>0</v>
      </c>
      <c r="M551" s="85">
        <f t="shared" si="154"/>
        <v>0</v>
      </c>
      <c r="N551" s="86">
        <f t="shared" si="154"/>
        <v>0</v>
      </c>
      <c r="O551" s="85">
        <f t="shared" si="154"/>
        <v>13</v>
      </c>
      <c r="P551" s="86">
        <f t="shared" si="154"/>
        <v>11.249661783011046</v>
      </c>
      <c r="Q551" s="85"/>
      <c r="R551" s="86"/>
    </row>
    <row r="552" spans="1:18">
      <c r="A552" s="99" t="s">
        <v>91</v>
      </c>
      <c r="B552" s="94">
        <f t="shared" ref="B552:B562" si="155">G552+I552+K552+M552+O552</f>
        <v>1</v>
      </c>
      <c r="C552" s="95">
        <f t="shared" ref="C552:C562" si="156">H552+J552+L552+N552+P552</f>
        <v>0.62871188993423877</v>
      </c>
      <c r="D552" s="96">
        <f>C552/$C$551</f>
        <v>9.8815280808535336E-4</v>
      </c>
      <c r="F552" s="97" t="s">
        <v>91</v>
      </c>
      <c r="G552" s="135">
        <v>0</v>
      </c>
      <c r="H552" s="136">
        <v>0</v>
      </c>
      <c r="I552" s="135">
        <v>0</v>
      </c>
      <c r="J552" s="136">
        <v>0</v>
      </c>
      <c r="K552" s="135">
        <v>0</v>
      </c>
      <c r="L552" s="136">
        <v>0</v>
      </c>
      <c r="M552" s="135">
        <v>0</v>
      </c>
      <c r="N552" s="136">
        <v>0</v>
      </c>
      <c r="O552" s="135">
        <v>1</v>
      </c>
      <c r="P552" s="136">
        <v>0.62871188993423877</v>
      </c>
      <c r="Q552" s="135">
        <v>0</v>
      </c>
      <c r="R552" s="136">
        <v>0</v>
      </c>
    </row>
    <row r="553" spans="1:18">
      <c r="A553" s="99" t="s">
        <v>92</v>
      </c>
      <c r="B553" s="94">
        <f t="shared" si="155"/>
        <v>0</v>
      </c>
      <c r="C553" s="95">
        <f t="shared" si="156"/>
        <v>0.47222200000000003</v>
      </c>
      <c r="D553" s="96">
        <f t="shared" ref="D553:D562" si="157">C553/$C$551</f>
        <v>7.4219607233527826E-4</v>
      </c>
      <c r="F553" s="97" t="s">
        <v>92</v>
      </c>
      <c r="G553" s="135">
        <v>0</v>
      </c>
      <c r="H553" s="136">
        <v>0</v>
      </c>
      <c r="I553" s="135">
        <v>0</v>
      </c>
      <c r="J553" s="136">
        <v>0</v>
      </c>
      <c r="K553" s="135">
        <v>0</v>
      </c>
      <c r="L553" s="136">
        <v>0</v>
      </c>
      <c r="M553" s="135">
        <v>0</v>
      </c>
      <c r="N553" s="136">
        <v>0</v>
      </c>
      <c r="O553" s="135">
        <v>0</v>
      </c>
      <c r="P553" s="136">
        <v>0.47222200000000003</v>
      </c>
      <c r="Q553" s="135">
        <v>0</v>
      </c>
      <c r="R553" s="136">
        <v>0</v>
      </c>
    </row>
    <row r="554" spans="1:18">
      <c r="A554" s="99" t="s">
        <v>93</v>
      </c>
      <c r="B554" s="94">
        <f t="shared" si="155"/>
        <v>3</v>
      </c>
      <c r="C554" s="95">
        <f t="shared" si="156"/>
        <v>502.30303241950617</v>
      </c>
      <c r="D554" s="96">
        <f t="shared" si="157"/>
        <v>0.78947473388333744</v>
      </c>
      <c r="F554" s="97" t="s">
        <v>93</v>
      </c>
      <c r="G554" s="135">
        <v>1</v>
      </c>
      <c r="H554" s="136">
        <v>500</v>
      </c>
      <c r="I554" s="135">
        <v>0</v>
      </c>
      <c r="J554" s="136">
        <v>0</v>
      </c>
      <c r="K554" s="135">
        <v>0</v>
      </c>
      <c r="L554" s="136">
        <v>0</v>
      </c>
      <c r="M554" s="135">
        <v>0</v>
      </c>
      <c r="N554" s="136">
        <v>0</v>
      </c>
      <c r="O554" s="135">
        <v>2</v>
      </c>
      <c r="P554" s="136">
        <v>2.3030324195061951</v>
      </c>
      <c r="Q554" s="135">
        <v>0</v>
      </c>
      <c r="R554" s="136">
        <v>0</v>
      </c>
    </row>
    <row r="555" spans="1:18">
      <c r="A555" s="99" t="s">
        <v>94</v>
      </c>
      <c r="B555" s="94">
        <f t="shared" si="155"/>
        <v>2</v>
      </c>
      <c r="C555" s="95">
        <f t="shared" si="156"/>
        <v>0.99</v>
      </c>
      <c r="D555" s="96">
        <f t="shared" si="157"/>
        <v>1.5559929685866507E-3</v>
      </c>
      <c r="F555" s="97" t="s">
        <v>94</v>
      </c>
      <c r="G555" s="135">
        <v>0</v>
      </c>
      <c r="H555" s="136">
        <v>0</v>
      </c>
      <c r="I555" s="135">
        <v>0</v>
      </c>
      <c r="J555" s="136">
        <v>0</v>
      </c>
      <c r="K555" s="135">
        <v>0</v>
      </c>
      <c r="L555" s="136">
        <v>0</v>
      </c>
      <c r="M555" s="135">
        <v>0</v>
      </c>
      <c r="N555" s="136">
        <v>0</v>
      </c>
      <c r="O555" s="135">
        <v>2</v>
      </c>
      <c r="P555" s="136">
        <v>0.99</v>
      </c>
      <c r="Q555" s="135">
        <v>0</v>
      </c>
      <c r="R555" s="136">
        <v>0</v>
      </c>
    </row>
    <row r="556" spans="1:18">
      <c r="A556" s="99" t="s">
        <v>95</v>
      </c>
      <c r="B556" s="94">
        <f t="shared" si="155"/>
        <v>1</v>
      </c>
      <c r="C556" s="95">
        <f t="shared" si="156"/>
        <v>2.0388334000928352</v>
      </c>
      <c r="D556" s="96">
        <f t="shared" si="157"/>
        <v>3.2044549845091567E-3</v>
      </c>
      <c r="F556" s="97" t="s">
        <v>95</v>
      </c>
      <c r="G556" s="135">
        <v>0</v>
      </c>
      <c r="H556" s="136">
        <v>0</v>
      </c>
      <c r="I556" s="135">
        <v>0</v>
      </c>
      <c r="J556" s="136">
        <v>0</v>
      </c>
      <c r="K556" s="135">
        <v>0</v>
      </c>
      <c r="L556" s="136">
        <v>0</v>
      </c>
      <c r="M556" s="135">
        <v>0</v>
      </c>
      <c r="N556" s="136">
        <v>0</v>
      </c>
      <c r="O556" s="135">
        <v>1</v>
      </c>
      <c r="P556" s="136">
        <v>2.0388334000928352</v>
      </c>
      <c r="Q556" s="135">
        <v>0</v>
      </c>
      <c r="R556" s="136">
        <v>0</v>
      </c>
    </row>
    <row r="557" spans="1:18">
      <c r="A557" s="99" t="s">
        <v>96</v>
      </c>
      <c r="B557" s="94">
        <f t="shared" si="155"/>
        <v>0</v>
      </c>
      <c r="C557" s="95">
        <f t="shared" si="156"/>
        <v>0.48487499000000001</v>
      </c>
      <c r="D557" s="96">
        <f t="shared" si="157"/>
        <v>7.6208290412477036E-4</v>
      </c>
      <c r="F557" s="97" t="s">
        <v>96</v>
      </c>
      <c r="G557" s="135">
        <v>0</v>
      </c>
      <c r="H557" s="136">
        <v>0</v>
      </c>
      <c r="I557" s="135">
        <v>0</v>
      </c>
      <c r="J557" s="136">
        <v>0</v>
      </c>
      <c r="K557" s="135">
        <v>0</v>
      </c>
      <c r="L557" s="136">
        <v>0</v>
      </c>
      <c r="M557" s="135">
        <v>0</v>
      </c>
      <c r="N557" s="136">
        <v>0</v>
      </c>
      <c r="O557" s="135">
        <v>0</v>
      </c>
      <c r="P557" s="136">
        <v>0.48487499000000001</v>
      </c>
      <c r="Q557" s="135">
        <v>0</v>
      </c>
      <c r="R557" s="136">
        <v>0</v>
      </c>
    </row>
    <row r="558" spans="1:18">
      <c r="A558" s="99" t="s">
        <v>97</v>
      </c>
      <c r="B558" s="94">
        <f t="shared" si="155"/>
        <v>0</v>
      </c>
      <c r="C558" s="95">
        <f t="shared" si="156"/>
        <v>0.36567745102052424</v>
      </c>
      <c r="D558" s="96">
        <f t="shared" si="157"/>
        <v>5.7473893187739912E-4</v>
      </c>
      <c r="F558" s="97" t="s">
        <v>97</v>
      </c>
      <c r="G558" s="135">
        <v>0</v>
      </c>
      <c r="H558" s="136">
        <v>0</v>
      </c>
      <c r="I558" s="135">
        <v>0</v>
      </c>
      <c r="J558" s="136">
        <v>0</v>
      </c>
      <c r="K558" s="135">
        <v>0</v>
      </c>
      <c r="L558" s="136">
        <v>0</v>
      </c>
      <c r="M558" s="135">
        <v>0</v>
      </c>
      <c r="N558" s="136">
        <v>0</v>
      </c>
      <c r="O558" s="135">
        <v>0</v>
      </c>
      <c r="P558" s="136">
        <v>0.36567745102052424</v>
      </c>
      <c r="Q558" s="135">
        <v>0</v>
      </c>
      <c r="R558" s="136">
        <v>0</v>
      </c>
    </row>
    <row r="559" spans="1:18">
      <c r="A559" s="99" t="s">
        <v>98</v>
      </c>
      <c r="B559" s="94">
        <f t="shared" si="155"/>
        <v>0</v>
      </c>
      <c r="C559" s="95">
        <f t="shared" si="156"/>
        <v>0.152863</v>
      </c>
      <c r="D559" s="96">
        <f t="shared" si="157"/>
        <v>2.4025631632026384E-4</v>
      </c>
      <c r="F559" s="97" t="s">
        <v>98</v>
      </c>
      <c r="G559" s="135">
        <v>0</v>
      </c>
      <c r="H559" s="136">
        <v>0</v>
      </c>
      <c r="I559" s="135">
        <v>0</v>
      </c>
      <c r="J559" s="136">
        <v>0</v>
      </c>
      <c r="K559" s="135">
        <v>0</v>
      </c>
      <c r="L559" s="136">
        <v>0</v>
      </c>
      <c r="M559" s="135">
        <v>0</v>
      </c>
      <c r="N559" s="136">
        <v>0</v>
      </c>
      <c r="O559" s="135">
        <v>0</v>
      </c>
      <c r="P559" s="136">
        <v>0.152863</v>
      </c>
      <c r="Q559" s="135">
        <v>0</v>
      </c>
      <c r="R559" s="136">
        <v>0</v>
      </c>
    </row>
    <row r="560" spans="1:18">
      <c r="A560" s="99" t="s">
        <v>99</v>
      </c>
      <c r="B560" s="94">
        <f t="shared" si="155"/>
        <v>4</v>
      </c>
      <c r="C560" s="95">
        <f t="shared" si="156"/>
        <v>1.7112415042521263</v>
      </c>
      <c r="D560" s="96">
        <f t="shared" si="157"/>
        <v>2.6895755032019714E-3</v>
      </c>
      <c r="F560" s="97" t="s">
        <v>99</v>
      </c>
      <c r="G560" s="135">
        <v>0</v>
      </c>
      <c r="H560" s="136">
        <v>0</v>
      </c>
      <c r="I560" s="135">
        <v>0</v>
      </c>
      <c r="J560" s="136">
        <v>0</v>
      </c>
      <c r="K560" s="135">
        <v>0</v>
      </c>
      <c r="L560" s="136">
        <v>0</v>
      </c>
      <c r="M560" s="135">
        <v>0</v>
      </c>
      <c r="N560" s="136">
        <v>0</v>
      </c>
      <c r="O560" s="135">
        <v>4</v>
      </c>
      <c r="P560" s="136">
        <v>1.7112415042521263</v>
      </c>
      <c r="Q560" s="135">
        <v>0</v>
      </c>
      <c r="R560" s="136">
        <v>0</v>
      </c>
    </row>
    <row r="561" spans="1:18">
      <c r="A561" s="99" t="s">
        <v>100</v>
      </c>
      <c r="B561" s="94">
        <f t="shared" si="155"/>
        <v>4</v>
      </c>
      <c r="C561" s="95">
        <f t="shared" si="156"/>
        <v>126.881</v>
      </c>
      <c r="D561" s="96">
        <f t="shared" si="157"/>
        <v>0.19942014530024529</v>
      </c>
      <c r="F561" s="97" t="s">
        <v>100</v>
      </c>
      <c r="G561" s="135">
        <v>1</v>
      </c>
      <c r="H561" s="136">
        <v>125</v>
      </c>
      <c r="I561" s="135">
        <v>0</v>
      </c>
      <c r="J561" s="136">
        <v>0</v>
      </c>
      <c r="K561" s="135">
        <v>0</v>
      </c>
      <c r="L561" s="136">
        <v>0</v>
      </c>
      <c r="M561" s="135">
        <v>0</v>
      </c>
      <c r="N561" s="136">
        <v>0</v>
      </c>
      <c r="O561" s="135">
        <v>3</v>
      </c>
      <c r="P561" s="136">
        <v>1.8810000000000004</v>
      </c>
      <c r="Q561" s="135">
        <v>0</v>
      </c>
      <c r="R561" s="136">
        <v>0</v>
      </c>
    </row>
    <row r="562" spans="1:18">
      <c r="A562" s="99" t="s">
        <v>101</v>
      </c>
      <c r="B562" s="94">
        <f t="shared" si="155"/>
        <v>0</v>
      </c>
      <c r="C562" s="95">
        <f t="shared" si="156"/>
        <v>0.22120512820512822</v>
      </c>
      <c r="D562" s="96">
        <f t="shared" si="157"/>
        <v>3.4767032737625063E-4</v>
      </c>
      <c r="F562" s="97" t="s">
        <v>101</v>
      </c>
      <c r="G562" s="135">
        <v>0</v>
      </c>
      <c r="H562" s="136">
        <v>0</v>
      </c>
      <c r="I562" s="135">
        <v>0</v>
      </c>
      <c r="J562" s="136">
        <v>0</v>
      </c>
      <c r="K562" s="135">
        <v>0</v>
      </c>
      <c r="L562" s="136">
        <v>0</v>
      </c>
      <c r="M562" s="135">
        <v>0</v>
      </c>
      <c r="N562" s="136">
        <v>0</v>
      </c>
      <c r="O562" s="135">
        <v>0</v>
      </c>
      <c r="P562" s="136">
        <v>0.22120512820512822</v>
      </c>
      <c r="Q562" s="135">
        <v>0</v>
      </c>
      <c r="R562" s="136">
        <v>0</v>
      </c>
    </row>
    <row r="563" spans="1:18">
      <c r="A563" s="84" t="s">
        <v>52</v>
      </c>
      <c r="B563" s="85">
        <f>SUM(B564:B574)</f>
        <v>45</v>
      </c>
      <c r="C563" s="86">
        <f>SUM(C564:C574)</f>
        <v>139.65547211408813</v>
      </c>
      <c r="D563" s="87">
        <f>SUM(D564:D574)</f>
        <v>1</v>
      </c>
      <c r="F563" s="84" t="s">
        <v>52</v>
      </c>
      <c r="G563" s="85">
        <f>SUM(G564:G574)</f>
        <v>3</v>
      </c>
      <c r="H563" s="86">
        <f t="shared" ref="H563:R563" si="158">SUM(H564:H574)</f>
        <v>7.88729528</v>
      </c>
      <c r="I563" s="85">
        <f t="shared" si="158"/>
        <v>19</v>
      </c>
      <c r="J563" s="86">
        <f t="shared" si="158"/>
        <v>112.81</v>
      </c>
      <c r="K563" s="85">
        <f t="shared" si="158"/>
        <v>0</v>
      </c>
      <c r="L563" s="86">
        <f t="shared" si="158"/>
        <v>0</v>
      </c>
      <c r="M563" s="85">
        <f t="shared" si="158"/>
        <v>0</v>
      </c>
      <c r="N563" s="86">
        <f t="shared" si="158"/>
        <v>0</v>
      </c>
      <c r="O563" s="85">
        <f t="shared" si="158"/>
        <v>23</v>
      </c>
      <c r="P563" s="86">
        <f t="shared" si="158"/>
        <v>18.958176834088146</v>
      </c>
      <c r="Q563" s="85">
        <f t="shared" si="158"/>
        <v>0</v>
      </c>
      <c r="R563" s="86">
        <f t="shared" si="158"/>
        <v>0</v>
      </c>
    </row>
    <row r="564" spans="1:18">
      <c r="A564" s="99" t="s">
        <v>91</v>
      </c>
      <c r="B564" s="94">
        <f t="shared" ref="B564:B574" si="159">G564+I564+K564+M564+O564</f>
        <v>1</v>
      </c>
      <c r="C564" s="95">
        <f t="shared" ref="C564:C574" si="160">H564+J564+L564+N564+P564</f>
        <v>0.420875</v>
      </c>
      <c r="D564" s="96">
        <f>C564/$C$563</f>
        <v>3.0136663721717716E-3</v>
      </c>
      <c r="F564" s="97" t="s">
        <v>91</v>
      </c>
      <c r="G564" s="135">
        <v>0</v>
      </c>
      <c r="H564" s="136">
        <v>0</v>
      </c>
      <c r="I564" s="135">
        <v>0</v>
      </c>
      <c r="J564" s="136">
        <v>0</v>
      </c>
      <c r="K564" s="135">
        <v>0</v>
      </c>
      <c r="L564" s="136">
        <v>0</v>
      </c>
      <c r="M564" s="135">
        <v>0</v>
      </c>
      <c r="N564" s="136">
        <v>0</v>
      </c>
      <c r="O564" s="135">
        <v>1</v>
      </c>
      <c r="P564" s="136">
        <v>0.420875</v>
      </c>
      <c r="Q564" s="135">
        <v>0</v>
      </c>
      <c r="R564" s="136">
        <v>0</v>
      </c>
    </row>
    <row r="565" spans="1:18">
      <c r="A565" s="99" t="s">
        <v>92</v>
      </c>
      <c r="B565" s="94">
        <f t="shared" si="159"/>
        <v>5</v>
      </c>
      <c r="C565" s="95">
        <f t="shared" si="160"/>
        <v>6.0277866128571427</v>
      </c>
      <c r="D565" s="96">
        <f t="shared" ref="D565:D574" si="161">C565/$C$563</f>
        <v>4.3161836207412548E-2</v>
      </c>
      <c r="F565" s="97" t="s">
        <v>92</v>
      </c>
      <c r="G565" s="135">
        <v>2</v>
      </c>
      <c r="H565" s="136">
        <v>3.8147015</v>
      </c>
      <c r="I565" s="135">
        <v>0</v>
      </c>
      <c r="J565" s="136">
        <v>0</v>
      </c>
      <c r="K565" s="135">
        <v>0</v>
      </c>
      <c r="L565" s="136">
        <v>0</v>
      </c>
      <c r="M565" s="135">
        <v>0</v>
      </c>
      <c r="N565" s="136">
        <v>0</v>
      </c>
      <c r="O565" s="135">
        <v>3</v>
      </c>
      <c r="P565" s="136">
        <v>2.2130851128571427</v>
      </c>
      <c r="Q565" s="135">
        <v>0</v>
      </c>
      <c r="R565" s="136">
        <v>0</v>
      </c>
    </row>
    <row r="566" spans="1:18">
      <c r="A566" s="99" t="s">
        <v>93</v>
      </c>
      <c r="B566" s="94">
        <f t="shared" si="159"/>
        <v>1</v>
      </c>
      <c r="C566" s="95">
        <f t="shared" si="160"/>
        <v>7.5533570993763259</v>
      </c>
      <c r="D566" s="96">
        <f t="shared" si="161"/>
        <v>5.4085650816502163E-2</v>
      </c>
      <c r="F566" s="97" t="s">
        <v>93</v>
      </c>
      <c r="G566" s="135">
        <v>0</v>
      </c>
      <c r="H566" s="136">
        <v>0</v>
      </c>
      <c r="I566" s="135">
        <v>1</v>
      </c>
      <c r="J566" s="136">
        <v>6</v>
      </c>
      <c r="K566" s="135">
        <v>0</v>
      </c>
      <c r="L566" s="136">
        <v>0</v>
      </c>
      <c r="M566" s="135">
        <v>0</v>
      </c>
      <c r="N566" s="136">
        <v>0</v>
      </c>
      <c r="O566" s="135">
        <v>0</v>
      </c>
      <c r="P566" s="136">
        <v>1.5533570993763255</v>
      </c>
      <c r="Q566" s="135">
        <v>0</v>
      </c>
      <c r="R566" s="136">
        <v>0</v>
      </c>
    </row>
    <row r="567" spans="1:18">
      <c r="A567" s="99" t="s">
        <v>94</v>
      </c>
      <c r="B567" s="94">
        <f t="shared" si="159"/>
        <v>1</v>
      </c>
      <c r="C567" s="95">
        <f t="shared" si="160"/>
        <v>0.39977677999999994</v>
      </c>
      <c r="D567" s="96">
        <f t="shared" si="161"/>
        <v>2.8625930223014251E-3</v>
      </c>
      <c r="F567" s="97" t="s">
        <v>94</v>
      </c>
      <c r="G567" s="135">
        <v>0</v>
      </c>
      <c r="H567" s="136">
        <v>0</v>
      </c>
      <c r="I567" s="135">
        <v>0</v>
      </c>
      <c r="J567" s="136">
        <v>0</v>
      </c>
      <c r="K567" s="135">
        <v>0</v>
      </c>
      <c r="L567" s="136">
        <v>0</v>
      </c>
      <c r="M567" s="135">
        <v>0</v>
      </c>
      <c r="N567" s="136">
        <v>0</v>
      </c>
      <c r="O567" s="135">
        <v>1</v>
      </c>
      <c r="P567" s="136">
        <v>0.39977677999999994</v>
      </c>
      <c r="Q567" s="135">
        <v>0</v>
      </c>
      <c r="R567" s="136">
        <v>0</v>
      </c>
    </row>
    <row r="568" spans="1:18">
      <c r="A568" s="99" t="s">
        <v>95</v>
      </c>
      <c r="B568" s="94">
        <f t="shared" si="159"/>
        <v>4</v>
      </c>
      <c r="C568" s="95">
        <f t="shared" si="160"/>
        <v>6.2215935423306945</v>
      </c>
      <c r="D568" s="96">
        <f t="shared" si="161"/>
        <v>4.4549586551453677E-2</v>
      </c>
      <c r="F568" s="97" t="s">
        <v>95</v>
      </c>
      <c r="G568" s="135">
        <v>0</v>
      </c>
      <c r="H568" s="136">
        <v>0</v>
      </c>
      <c r="I568" s="135">
        <v>4</v>
      </c>
      <c r="J568" s="136">
        <v>5</v>
      </c>
      <c r="K568" s="135">
        <v>0</v>
      </c>
      <c r="L568" s="136">
        <v>0</v>
      </c>
      <c r="M568" s="135">
        <v>0</v>
      </c>
      <c r="N568" s="136">
        <v>0</v>
      </c>
      <c r="O568" s="135">
        <v>0</v>
      </c>
      <c r="P568" s="136">
        <v>1.2215935423306949</v>
      </c>
      <c r="Q568" s="135">
        <v>0</v>
      </c>
      <c r="R568" s="136">
        <v>0</v>
      </c>
    </row>
    <row r="569" spans="1:18">
      <c r="A569" s="99" t="s">
        <v>96</v>
      </c>
      <c r="B569" s="94">
        <f t="shared" si="159"/>
        <v>0</v>
      </c>
      <c r="C569" s="95">
        <f t="shared" si="160"/>
        <v>0.46092900000000003</v>
      </c>
      <c r="D569" s="96">
        <f t="shared" si="161"/>
        <v>3.3004721764389967E-3</v>
      </c>
      <c r="F569" s="97" t="s">
        <v>96</v>
      </c>
      <c r="G569" s="135">
        <v>0</v>
      </c>
      <c r="H569" s="136">
        <v>0</v>
      </c>
      <c r="I569" s="135">
        <v>0</v>
      </c>
      <c r="J569" s="136">
        <v>0</v>
      </c>
      <c r="K569" s="135">
        <v>0</v>
      </c>
      <c r="L569" s="136">
        <v>0</v>
      </c>
      <c r="M569" s="135">
        <v>0</v>
      </c>
      <c r="N569" s="136">
        <v>0</v>
      </c>
      <c r="O569" s="135">
        <v>0</v>
      </c>
      <c r="P569" s="136">
        <v>0.46092900000000003</v>
      </c>
      <c r="Q569" s="135">
        <v>0</v>
      </c>
      <c r="R569" s="136">
        <v>0</v>
      </c>
    </row>
    <row r="570" spans="1:18">
      <c r="A570" s="99" t="s">
        <v>97</v>
      </c>
      <c r="B570" s="94">
        <f t="shared" si="159"/>
        <v>0</v>
      </c>
      <c r="C570" s="95">
        <f t="shared" si="160"/>
        <v>0.21136890556597876</v>
      </c>
      <c r="D570" s="96">
        <f t="shared" si="161"/>
        <v>1.5135024955793075E-3</v>
      </c>
      <c r="F570" s="97" t="s">
        <v>97</v>
      </c>
      <c r="G570" s="135">
        <v>0</v>
      </c>
      <c r="H570" s="136">
        <v>0</v>
      </c>
      <c r="I570" s="135">
        <v>0</v>
      </c>
      <c r="J570" s="136">
        <v>0</v>
      </c>
      <c r="K570" s="135">
        <v>0</v>
      </c>
      <c r="L570" s="136">
        <v>0</v>
      </c>
      <c r="M570" s="135">
        <v>0</v>
      </c>
      <c r="N570" s="136">
        <v>0</v>
      </c>
      <c r="O570" s="135">
        <v>0</v>
      </c>
      <c r="P570" s="136">
        <v>0.21136890556597876</v>
      </c>
      <c r="Q570" s="135">
        <v>0</v>
      </c>
      <c r="R570" s="136">
        <v>0</v>
      </c>
    </row>
    <row r="571" spans="1:18">
      <c r="A571" s="99" t="s">
        <v>98</v>
      </c>
      <c r="B571" s="94">
        <f t="shared" si="159"/>
        <v>0</v>
      </c>
      <c r="C571" s="95">
        <f t="shared" si="160"/>
        <v>0.46999400000000002</v>
      </c>
      <c r="D571" s="96">
        <f t="shared" si="161"/>
        <v>3.3653819136857731E-3</v>
      </c>
      <c r="F571" s="97" t="s">
        <v>98</v>
      </c>
      <c r="G571" s="135">
        <v>0</v>
      </c>
      <c r="H571" s="136">
        <v>0</v>
      </c>
      <c r="I571" s="135">
        <v>0</v>
      </c>
      <c r="J571" s="136">
        <v>0</v>
      </c>
      <c r="K571" s="135">
        <v>0</v>
      </c>
      <c r="L571" s="136">
        <v>0</v>
      </c>
      <c r="M571" s="135">
        <v>0</v>
      </c>
      <c r="N571" s="136">
        <v>0</v>
      </c>
      <c r="O571" s="135">
        <v>0</v>
      </c>
      <c r="P571" s="136">
        <v>0.46999400000000002</v>
      </c>
      <c r="Q571" s="135">
        <v>0</v>
      </c>
      <c r="R571" s="136">
        <v>0</v>
      </c>
    </row>
    <row r="572" spans="1:18">
      <c r="A572" s="99" t="s">
        <v>99</v>
      </c>
      <c r="B572" s="94">
        <f t="shared" si="159"/>
        <v>19</v>
      </c>
      <c r="C572" s="95">
        <f t="shared" si="160"/>
        <v>31.450899435752874</v>
      </c>
      <c r="D572" s="96">
        <f t="shared" si="161"/>
        <v>0.22520348798119297</v>
      </c>
      <c r="F572" s="97" t="s">
        <v>99</v>
      </c>
      <c r="G572" s="135">
        <v>1</v>
      </c>
      <c r="H572" s="136">
        <v>4.0725937800000001</v>
      </c>
      <c r="I572" s="135">
        <v>6</v>
      </c>
      <c r="J572" s="136">
        <v>18.59</v>
      </c>
      <c r="K572" s="135">
        <v>0</v>
      </c>
      <c r="L572" s="136">
        <v>0</v>
      </c>
      <c r="M572" s="135">
        <v>0</v>
      </c>
      <c r="N572" s="136">
        <v>0</v>
      </c>
      <c r="O572" s="135">
        <v>12</v>
      </c>
      <c r="P572" s="136">
        <v>8.7883056557528736</v>
      </c>
      <c r="Q572" s="135">
        <v>0</v>
      </c>
      <c r="R572" s="136">
        <v>0</v>
      </c>
    </row>
    <row r="573" spans="1:18">
      <c r="A573" s="99" t="s">
        <v>100</v>
      </c>
      <c r="B573" s="94">
        <f t="shared" si="159"/>
        <v>11</v>
      </c>
      <c r="C573" s="95">
        <f t="shared" si="160"/>
        <v>81.600686609999997</v>
      </c>
      <c r="D573" s="96">
        <f t="shared" si="161"/>
        <v>0.58429995885401687</v>
      </c>
      <c r="F573" s="97" t="s">
        <v>100</v>
      </c>
      <c r="G573" s="135">
        <v>0</v>
      </c>
      <c r="H573" s="136">
        <v>0</v>
      </c>
      <c r="I573" s="135">
        <v>7</v>
      </c>
      <c r="J573" s="136">
        <v>79.22</v>
      </c>
      <c r="K573" s="135">
        <v>0</v>
      </c>
      <c r="L573" s="136">
        <v>0</v>
      </c>
      <c r="M573" s="135">
        <v>0</v>
      </c>
      <c r="N573" s="136">
        <v>0</v>
      </c>
      <c r="O573" s="135">
        <v>4</v>
      </c>
      <c r="P573" s="136">
        <v>2.3806866100000001</v>
      </c>
      <c r="Q573" s="135">
        <v>0</v>
      </c>
      <c r="R573" s="136">
        <v>0</v>
      </c>
    </row>
    <row r="574" spans="1:18">
      <c r="A574" s="99" t="s">
        <v>101</v>
      </c>
      <c r="B574" s="94">
        <f t="shared" si="159"/>
        <v>3</v>
      </c>
      <c r="C574" s="95">
        <f t="shared" si="160"/>
        <v>4.8382051282051286</v>
      </c>
      <c r="D574" s="96">
        <f t="shared" si="161"/>
        <v>3.4643863609244575E-2</v>
      </c>
      <c r="F574" s="97" t="s">
        <v>101</v>
      </c>
      <c r="G574" s="135">
        <v>0</v>
      </c>
      <c r="H574" s="136">
        <v>0</v>
      </c>
      <c r="I574" s="135">
        <v>1</v>
      </c>
      <c r="J574" s="136">
        <v>4</v>
      </c>
      <c r="K574" s="135">
        <v>0</v>
      </c>
      <c r="L574" s="136">
        <v>0</v>
      </c>
      <c r="M574" s="135">
        <v>0</v>
      </c>
      <c r="N574" s="136">
        <v>0</v>
      </c>
      <c r="O574" s="135">
        <v>2</v>
      </c>
      <c r="P574" s="136">
        <v>0.83820512820512838</v>
      </c>
      <c r="Q574" s="135">
        <v>0</v>
      </c>
      <c r="R574" s="136">
        <v>0</v>
      </c>
    </row>
    <row r="575" spans="1:18">
      <c r="A575" s="84" t="s">
        <v>53</v>
      </c>
      <c r="B575" s="85">
        <f>B576+B588</f>
        <v>1140</v>
      </c>
      <c r="C575" s="86">
        <f>C576+C588</f>
        <v>13091.772176308434</v>
      </c>
      <c r="D575" s="87">
        <f>D576+D588</f>
        <v>1</v>
      </c>
      <c r="F575" s="84" t="s">
        <v>53</v>
      </c>
      <c r="G575" s="85">
        <f>SUM(G577:G587)</f>
        <v>101</v>
      </c>
      <c r="H575" s="86">
        <f t="shared" ref="H575:R575" si="162">SUM(H577:H587)</f>
        <v>11648.51240327587</v>
      </c>
      <c r="I575" s="85">
        <f t="shared" si="162"/>
        <v>8</v>
      </c>
      <c r="J575" s="86">
        <f t="shared" si="162"/>
        <v>16.34</v>
      </c>
      <c r="K575" s="85">
        <f t="shared" si="162"/>
        <v>1</v>
      </c>
      <c r="L575" s="86">
        <f t="shared" si="162"/>
        <v>5.8897454999999992</v>
      </c>
      <c r="M575" s="85">
        <f t="shared" si="162"/>
        <v>2</v>
      </c>
      <c r="N575" s="86">
        <f t="shared" si="162"/>
        <v>237.41326525999997</v>
      </c>
      <c r="O575" s="85">
        <f t="shared" si="162"/>
        <v>156</v>
      </c>
      <c r="P575" s="86">
        <f t="shared" si="162"/>
        <v>145.3202855993965</v>
      </c>
      <c r="Q575" s="85">
        <f t="shared" si="162"/>
        <v>872</v>
      </c>
      <c r="R575" s="86">
        <f t="shared" si="162"/>
        <v>1038.2964766731682</v>
      </c>
    </row>
    <row r="576" spans="1:18">
      <c r="A576" s="88" t="s">
        <v>90</v>
      </c>
      <c r="B576" s="89">
        <f>SUM(B577:B587)</f>
        <v>268</v>
      </c>
      <c r="C576" s="90">
        <f>SUM(C577:C587)</f>
        <v>12053.475699635266</v>
      </c>
      <c r="D576" s="91">
        <f>SUM(D577:D587)</f>
        <v>0.92069091466836528</v>
      </c>
      <c r="F576" s="92"/>
      <c r="G576" s="89"/>
      <c r="H576" s="90"/>
      <c r="I576" s="89"/>
      <c r="J576" s="90"/>
      <c r="K576" s="89"/>
      <c r="L576" s="90"/>
      <c r="M576" s="89"/>
      <c r="N576" s="90"/>
      <c r="O576" s="89"/>
      <c r="P576" s="90"/>
      <c r="Q576" s="89"/>
      <c r="R576" s="90"/>
    </row>
    <row r="577" spans="1:18">
      <c r="A577" s="93" t="s">
        <v>91</v>
      </c>
      <c r="B577" s="94">
        <f t="shared" ref="B577:B587" si="163">G577+I577+K577+M577+O577</f>
        <v>39</v>
      </c>
      <c r="C577" s="95">
        <f t="shared" ref="C577:C587" si="164">H577+J577+L577+N577+P577</f>
        <v>952.72702221266206</v>
      </c>
      <c r="D577" s="96">
        <f>C577/$C$575</f>
        <v>7.2772960710144913E-2</v>
      </c>
      <c r="F577" s="97" t="s">
        <v>91</v>
      </c>
      <c r="G577" s="135">
        <v>13</v>
      </c>
      <c r="H577" s="136">
        <v>926.84616246587075</v>
      </c>
      <c r="I577" s="135">
        <v>3</v>
      </c>
      <c r="J577" s="136">
        <v>6.3</v>
      </c>
      <c r="K577" s="135">
        <v>0</v>
      </c>
      <c r="L577" s="136">
        <v>0</v>
      </c>
      <c r="M577" s="135">
        <v>0</v>
      </c>
      <c r="N577" s="136">
        <v>0</v>
      </c>
      <c r="O577" s="135">
        <v>23</v>
      </c>
      <c r="P577" s="136">
        <v>19.580859746791383</v>
      </c>
      <c r="Q577" s="135">
        <v>0</v>
      </c>
      <c r="R577" s="136">
        <v>0</v>
      </c>
    </row>
    <row r="578" spans="1:18">
      <c r="A578" s="93" t="s">
        <v>92</v>
      </c>
      <c r="B578" s="94">
        <f t="shared" si="163"/>
        <v>25</v>
      </c>
      <c r="C578" s="95">
        <f t="shared" si="164"/>
        <v>392.84156002999998</v>
      </c>
      <c r="D578" s="96">
        <f t="shared" ref="D578:D587" si="165">C578/$C$575</f>
        <v>3.0006751930873571E-2</v>
      </c>
      <c r="F578" s="97" t="s">
        <v>92</v>
      </c>
      <c r="G578" s="135">
        <v>9</v>
      </c>
      <c r="H578" s="136">
        <v>382.95933802999997</v>
      </c>
      <c r="I578" s="135">
        <v>1</v>
      </c>
      <c r="J578" s="136">
        <v>1.5</v>
      </c>
      <c r="K578" s="135">
        <v>0</v>
      </c>
      <c r="L578" s="136">
        <v>0</v>
      </c>
      <c r="M578" s="135">
        <v>0</v>
      </c>
      <c r="N578" s="136">
        <v>0</v>
      </c>
      <c r="O578" s="135">
        <v>15</v>
      </c>
      <c r="P578" s="136">
        <v>8.3822220000000005</v>
      </c>
      <c r="Q578" s="135">
        <v>0</v>
      </c>
      <c r="R578" s="136">
        <v>0</v>
      </c>
    </row>
    <row r="579" spans="1:18">
      <c r="A579" s="93" t="s">
        <v>93</v>
      </c>
      <c r="B579" s="94">
        <f t="shared" si="163"/>
        <v>40</v>
      </c>
      <c r="C579" s="95">
        <f t="shared" si="164"/>
        <v>2558.9452045195062</v>
      </c>
      <c r="D579" s="96">
        <f t="shared" si="165"/>
        <v>0.19546209405861106</v>
      </c>
      <c r="F579" s="97" t="s">
        <v>93</v>
      </c>
      <c r="G579" s="135">
        <v>15</v>
      </c>
      <c r="H579" s="136">
        <v>2291.5397318400001</v>
      </c>
      <c r="I579" s="135">
        <v>0</v>
      </c>
      <c r="J579" s="136">
        <v>0</v>
      </c>
      <c r="K579" s="135">
        <v>0</v>
      </c>
      <c r="L579" s="136">
        <v>0</v>
      </c>
      <c r="M579" s="135">
        <v>2</v>
      </c>
      <c r="N579" s="136">
        <v>237.41326525999997</v>
      </c>
      <c r="O579" s="135">
        <v>23</v>
      </c>
      <c r="P579" s="136">
        <v>29.992207419506201</v>
      </c>
      <c r="Q579" s="135">
        <v>0</v>
      </c>
      <c r="R579" s="136">
        <v>0</v>
      </c>
    </row>
    <row r="580" spans="1:18">
      <c r="A580" s="93" t="s">
        <v>94</v>
      </c>
      <c r="B580" s="94">
        <f t="shared" si="163"/>
        <v>44</v>
      </c>
      <c r="C580" s="95">
        <f t="shared" si="164"/>
        <v>2214.5876734987241</v>
      </c>
      <c r="D580" s="96">
        <f t="shared" si="165"/>
        <v>0.16915873906714934</v>
      </c>
      <c r="F580" s="97" t="s">
        <v>94</v>
      </c>
      <c r="G580" s="135">
        <v>16</v>
      </c>
      <c r="H580" s="136">
        <v>2187.9708166</v>
      </c>
      <c r="I580" s="135">
        <v>1</v>
      </c>
      <c r="J580" s="136">
        <v>2.54</v>
      </c>
      <c r="K580" s="135">
        <v>1</v>
      </c>
      <c r="L580" s="136">
        <v>5.8897454999999992</v>
      </c>
      <c r="M580" s="135">
        <v>0</v>
      </c>
      <c r="N580" s="136">
        <v>0</v>
      </c>
      <c r="O580" s="135">
        <v>26</v>
      </c>
      <c r="P580" s="136">
        <v>18.187111398724085</v>
      </c>
      <c r="Q580" s="135">
        <v>565</v>
      </c>
      <c r="R580" s="136">
        <v>706.8127702715841</v>
      </c>
    </row>
    <row r="581" spans="1:18">
      <c r="A581" s="93" t="s">
        <v>95</v>
      </c>
      <c r="B581" s="94">
        <f t="shared" si="163"/>
        <v>10</v>
      </c>
      <c r="C581" s="95">
        <f t="shared" si="164"/>
        <v>199.75492691373015</v>
      </c>
      <c r="D581" s="96">
        <f t="shared" si="165"/>
        <v>1.5258050951666977E-2</v>
      </c>
      <c r="F581" s="97" t="s">
        <v>95</v>
      </c>
      <c r="G581" s="135">
        <v>4</v>
      </c>
      <c r="H581" s="136">
        <v>190.03</v>
      </c>
      <c r="I581" s="135">
        <v>1</v>
      </c>
      <c r="J581" s="136">
        <v>3</v>
      </c>
      <c r="K581" s="135">
        <v>0</v>
      </c>
      <c r="L581" s="136">
        <v>0</v>
      </c>
      <c r="M581" s="135">
        <v>0</v>
      </c>
      <c r="N581" s="136">
        <v>0</v>
      </c>
      <c r="O581" s="135">
        <v>5</v>
      </c>
      <c r="P581" s="136">
        <v>6.7249269137301368</v>
      </c>
      <c r="Q581" s="135">
        <v>0</v>
      </c>
      <c r="R581" s="136">
        <v>0</v>
      </c>
    </row>
    <row r="582" spans="1:18">
      <c r="A582" s="93" t="s">
        <v>96</v>
      </c>
      <c r="B582" s="94">
        <f t="shared" si="163"/>
        <v>7</v>
      </c>
      <c r="C582" s="95">
        <f t="shared" si="164"/>
        <v>277.52600393</v>
      </c>
      <c r="D582" s="96">
        <f t="shared" si="165"/>
        <v>2.1198505457666442E-2</v>
      </c>
      <c r="F582" s="97" t="s">
        <v>96</v>
      </c>
      <c r="G582" s="135">
        <v>4</v>
      </c>
      <c r="H582" s="136">
        <v>274.71713582000001</v>
      </c>
      <c r="I582" s="135">
        <v>0</v>
      </c>
      <c r="J582" s="136">
        <v>0</v>
      </c>
      <c r="K582" s="135">
        <v>0</v>
      </c>
      <c r="L582" s="136">
        <v>0</v>
      </c>
      <c r="M582" s="135">
        <v>0</v>
      </c>
      <c r="N582" s="136">
        <v>0</v>
      </c>
      <c r="O582" s="135">
        <v>3</v>
      </c>
      <c r="P582" s="136">
        <v>2.8088681099999997</v>
      </c>
      <c r="Q582" s="135">
        <v>307</v>
      </c>
      <c r="R582" s="136">
        <v>331.48370640158407</v>
      </c>
    </row>
    <row r="583" spans="1:18">
      <c r="A583" s="93" t="s">
        <v>97</v>
      </c>
      <c r="B583" s="94">
        <f t="shared" si="163"/>
        <v>0</v>
      </c>
      <c r="C583" s="95">
        <f t="shared" si="164"/>
        <v>0.40047845102052426</v>
      </c>
      <c r="D583" s="96">
        <f t="shared" si="165"/>
        <v>3.0590087088839765E-5</v>
      </c>
      <c r="F583" s="97" t="s">
        <v>97</v>
      </c>
      <c r="G583" s="135">
        <v>0</v>
      </c>
      <c r="H583" s="136">
        <v>0</v>
      </c>
      <c r="I583" s="135">
        <v>0</v>
      </c>
      <c r="J583" s="136">
        <v>0</v>
      </c>
      <c r="K583" s="135">
        <v>0</v>
      </c>
      <c r="L583" s="136">
        <v>0</v>
      </c>
      <c r="M583" s="135">
        <v>0</v>
      </c>
      <c r="N583" s="136">
        <v>0</v>
      </c>
      <c r="O583" s="135">
        <v>0</v>
      </c>
      <c r="P583" s="136">
        <v>0.40047845102052426</v>
      </c>
      <c r="Q583" s="135">
        <v>0</v>
      </c>
      <c r="R583" s="136">
        <v>0</v>
      </c>
    </row>
    <row r="584" spans="1:18">
      <c r="A584" s="93" t="s">
        <v>98</v>
      </c>
      <c r="B584" s="94">
        <f t="shared" si="163"/>
        <v>0</v>
      </c>
      <c r="C584" s="95">
        <f t="shared" si="164"/>
        <v>0.33346300000000001</v>
      </c>
      <c r="D584" s="96">
        <f t="shared" si="165"/>
        <v>2.5471188736651891E-5</v>
      </c>
      <c r="F584" s="97" t="s">
        <v>98</v>
      </c>
      <c r="G584" s="135">
        <v>0</v>
      </c>
      <c r="H584" s="136">
        <v>0</v>
      </c>
      <c r="I584" s="135">
        <v>0</v>
      </c>
      <c r="J584" s="136">
        <v>0</v>
      </c>
      <c r="K584" s="135">
        <v>0</v>
      </c>
      <c r="L584" s="136">
        <v>0</v>
      </c>
      <c r="M584" s="135">
        <v>0</v>
      </c>
      <c r="N584" s="136">
        <v>0</v>
      </c>
      <c r="O584" s="135">
        <v>0</v>
      </c>
      <c r="P584" s="136">
        <v>0.33346300000000001</v>
      </c>
      <c r="Q584" s="135">
        <v>0</v>
      </c>
      <c r="R584" s="136">
        <v>0</v>
      </c>
    </row>
    <row r="585" spans="1:18">
      <c r="A585" s="93" t="s">
        <v>99</v>
      </c>
      <c r="B585" s="94">
        <f t="shared" si="163"/>
        <v>28</v>
      </c>
      <c r="C585" s="95">
        <f t="shared" si="164"/>
        <v>1640.3404425047524</v>
      </c>
      <c r="D585" s="96">
        <f t="shared" si="165"/>
        <v>0.12529552305173777</v>
      </c>
      <c r="F585" s="97" t="s">
        <v>99</v>
      </c>
      <c r="G585" s="135">
        <v>5</v>
      </c>
      <c r="H585" s="136">
        <v>1620.7</v>
      </c>
      <c r="I585" s="135">
        <v>0</v>
      </c>
      <c r="J585" s="136">
        <v>0</v>
      </c>
      <c r="K585" s="135">
        <v>0</v>
      </c>
      <c r="L585" s="136">
        <v>0</v>
      </c>
      <c r="M585" s="135">
        <v>0</v>
      </c>
      <c r="N585" s="136">
        <v>0</v>
      </c>
      <c r="O585" s="135">
        <v>23</v>
      </c>
      <c r="P585" s="136">
        <v>19.640442504752379</v>
      </c>
      <c r="Q585" s="135">
        <v>0</v>
      </c>
      <c r="R585" s="136">
        <v>0</v>
      </c>
    </row>
    <row r="586" spans="1:18">
      <c r="A586" s="93" t="s">
        <v>100</v>
      </c>
      <c r="B586" s="94">
        <f t="shared" si="163"/>
        <v>42</v>
      </c>
      <c r="C586" s="95">
        <f t="shared" si="164"/>
        <v>2615.1228514766667</v>
      </c>
      <c r="D586" s="96">
        <f t="shared" si="165"/>
        <v>0.19975315917955949</v>
      </c>
      <c r="F586" s="97" t="s">
        <v>100</v>
      </c>
      <c r="G586" s="135">
        <v>19</v>
      </c>
      <c r="H586" s="136">
        <v>2595.8277065500001</v>
      </c>
      <c r="I586" s="135">
        <v>0</v>
      </c>
      <c r="J586" s="136">
        <v>0</v>
      </c>
      <c r="K586" s="135">
        <v>0</v>
      </c>
      <c r="L586" s="136">
        <v>0</v>
      </c>
      <c r="M586" s="135">
        <v>0</v>
      </c>
      <c r="N586" s="136">
        <v>0</v>
      </c>
      <c r="O586" s="135">
        <v>23</v>
      </c>
      <c r="P586" s="136">
        <v>19.295144926666666</v>
      </c>
      <c r="Q586" s="135">
        <v>0</v>
      </c>
      <c r="R586" s="136">
        <v>0</v>
      </c>
    </row>
    <row r="587" spans="1:18">
      <c r="A587" s="93" t="s">
        <v>101</v>
      </c>
      <c r="B587" s="94">
        <f t="shared" si="163"/>
        <v>33</v>
      </c>
      <c r="C587" s="95">
        <f t="shared" si="164"/>
        <v>1200.8960730982051</v>
      </c>
      <c r="D587" s="96">
        <f t="shared" si="165"/>
        <v>9.1729068985130252E-2</v>
      </c>
      <c r="F587" s="97" t="s">
        <v>101</v>
      </c>
      <c r="G587" s="135">
        <v>16</v>
      </c>
      <c r="H587" s="136">
        <v>1177.92151197</v>
      </c>
      <c r="I587" s="135">
        <v>2</v>
      </c>
      <c r="J587" s="136">
        <v>3</v>
      </c>
      <c r="K587" s="135">
        <v>0</v>
      </c>
      <c r="L587" s="136">
        <v>0</v>
      </c>
      <c r="M587" s="135">
        <v>0</v>
      </c>
      <c r="N587" s="136">
        <v>0</v>
      </c>
      <c r="O587" s="135">
        <v>15</v>
      </c>
      <c r="P587" s="136">
        <v>19.974561128205124</v>
      </c>
      <c r="Q587" s="135">
        <v>0</v>
      </c>
      <c r="R587" s="136">
        <v>0</v>
      </c>
    </row>
    <row r="588" spans="1:18" ht="17.25">
      <c r="A588" s="104" t="s">
        <v>103</v>
      </c>
      <c r="B588" s="89">
        <f>SUM(B589:B590)</f>
        <v>872</v>
      </c>
      <c r="C588" s="90">
        <f>SUM(C589:C590)</f>
        <v>1038.2964766731682</v>
      </c>
      <c r="D588" s="91">
        <f>SUM(D589:D590)</f>
        <v>7.9309085331634832E-2</v>
      </c>
      <c r="E588" s="123"/>
      <c r="F588" s="97"/>
      <c r="G588" s="135"/>
      <c r="H588" s="136"/>
      <c r="I588" s="135"/>
      <c r="J588" s="136"/>
      <c r="K588" s="135"/>
      <c r="L588" s="136"/>
      <c r="M588" s="135"/>
      <c r="N588" s="136"/>
      <c r="O588" s="135"/>
      <c r="P588" s="136"/>
      <c r="Q588" s="135"/>
      <c r="R588" s="136"/>
    </row>
    <row r="589" spans="1:18">
      <c r="A589" s="93" t="s">
        <v>94</v>
      </c>
      <c r="B589" s="94">
        <f>Q580</f>
        <v>565</v>
      </c>
      <c r="C589" s="95">
        <f>R580</f>
        <v>706.8127702715841</v>
      </c>
      <c r="D589" s="96">
        <f>C589/$C$575</f>
        <v>5.3989082666032792E-2</v>
      </c>
      <c r="F589" s="97"/>
      <c r="G589" s="135"/>
      <c r="H589" s="136"/>
      <c r="I589" s="135"/>
      <c r="J589" s="136"/>
      <c r="K589" s="135"/>
      <c r="L589" s="136"/>
      <c r="M589" s="135"/>
      <c r="N589" s="136"/>
      <c r="O589" s="135"/>
      <c r="P589" s="136"/>
      <c r="Q589" s="135"/>
      <c r="R589" s="136"/>
    </row>
    <row r="590" spans="1:18">
      <c r="A590" s="93" t="s">
        <v>96</v>
      </c>
      <c r="B590" s="94">
        <f>Q582</f>
        <v>307</v>
      </c>
      <c r="C590" s="95">
        <f>R582</f>
        <v>331.48370640158407</v>
      </c>
      <c r="D590" s="96">
        <f>C590/$C$575</f>
        <v>2.5320002665602033E-2</v>
      </c>
      <c r="F590" s="97"/>
      <c r="G590" s="135"/>
      <c r="H590" s="136"/>
      <c r="I590" s="135"/>
      <c r="J590" s="136"/>
      <c r="K590" s="135"/>
      <c r="L590" s="136"/>
      <c r="M590" s="135"/>
      <c r="N590" s="136"/>
      <c r="O590" s="135"/>
      <c r="P590" s="136"/>
      <c r="Q590" s="135"/>
      <c r="R590" s="136"/>
    </row>
    <row r="591" spans="1:18">
      <c r="A591" s="84" t="s">
        <v>54</v>
      </c>
      <c r="B591" s="85">
        <f>SUM(B592:B602)</f>
        <v>112</v>
      </c>
      <c r="C591" s="86">
        <f>SUM(C592:C602)</f>
        <v>291.7814684558669</v>
      </c>
      <c r="D591" s="87">
        <f>SUM(D592:D602)</f>
        <v>0.99999999999999967</v>
      </c>
      <c r="F591" s="84" t="s">
        <v>54</v>
      </c>
      <c r="G591" s="85">
        <f>SUM(G592:G602)</f>
        <v>17</v>
      </c>
      <c r="H591" s="86">
        <f t="shared" ref="H591:R591" si="166">SUM(H592:H602)</f>
        <v>96.830105000000003</v>
      </c>
      <c r="I591" s="85">
        <f t="shared" si="166"/>
        <v>30</v>
      </c>
      <c r="J591" s="86">
        <f t="shared" si="166"/>
        <v>153.09357799999998</v>
      </c>
      <c r="K591" s="85">
        <f t="shared" si="166"/>
        <v>0</v>
      </c>
      <c r="L591" s="86">
        <f t="shared" si="166"/>
        <v>0</v>
      </c>
      <c r="M591" s="85">
        <f t="shared" si="166"/>
        <v>0</v>
      </c>
      <c r="N591" s="86">
        <f t="shared" si="166"/>
        <v>0</v>
      </c>
      <c r="O591" s="85">
        <f t="shared" si="166"/>
        <v>65</v>
      </c>
      <c r="P591" s="86">
        <f t="shared" si="166"/>
        <v>41.857785455866846</v>
      </c>
      <c r="Q591" s="85">
        <f t="shared" si="166"/>
        <v>0</v>
      </c>
      <c r="R591" s="86">
        <f t="shared" si="166"/>
        <v>0</v>
      </c>
    </row>
    <row r="592" spans="1:18">
      <c r="A592" s="99" t="s">
        <v>91</v>
      </c>
      <c r="B592" s="94">
        <f t="shared" ref="B592:B602" si="167">G592+I592+K592+M592+O592</f>
        <v>8</v>
      </c>
      <c r="C592" s="95">
        <f t="shared" ref="C592:C602" si="168">H592+J592+L592+N592+P592</f>
        <v>2.1238766499999997</v>
      </c>
      <c r="D592" s="96">
        <f>C592/$C$591</f>
        <v>7.2789977418365225E-3</v>
      </c>
      <c r="F592" s="97" t="s">
        <v>91</v>
      </c>
      <c r="G592" s="135">
        <v>1</v>
      </c>
      <c r="H592" s="136">
        <v>1.08687665</v>
      </c>
      <c r="I592" s="135">
        <v>0</v>
      </c>
      <c r="J592" s="136">
        <v>0</v>
      </c>
      <c r="K592" s="135">
        <v>0</v>
      </c>
      <c r="L592" s="136">
        <v>0</v>
      </c>
      <c r="M592" s="135">
        <v>0</v>
      </c>
      <c r="N592" s="136">
        <v>0</v>
      </c>
      <c r="O592" s="135">
        <v>7</v>
      </c>
      <c r="P592" s="136">
        <v>1.0369999999999999</v>
      </c>
      <c r="Q592" s="135">
        <v>0</v>
      </c>
      <c r="R592" s="136">
        <v>0</v>
      </c>
    </row>
    <row r="593" spans="1:18">
      <c r="A593" s="99" t="s">
        <v>92</v>
      </c>
      <c r="B593" s="94">
        <f t="shared" si="167"/>
        <v>4</v>
      </c>
      <c r="C593" s="95">
        <f t="shared" si="168"/>
        <v>8.2221059428571426</v>
      </c>
      <c r="D593" s="96">
        <f t="shared" ref="D593:D602" si="169">C593/$C$591</f>
        <v>2.8178986096578536E-2</v>
      </c>
      <c r="F593" s="97" t="s">
        <v>92</v>
      </c>
      <c r="G593" s="135">
        <v>0</v>
      </c>
      <c r="H593" s="136">
        <v>0</v>
      </c>
      <c r="I593" s="135">
        <v>1</v>
      </c>
      <c r="J593" s="136">
        <v>5</v>
      </c>
      <c r="K593" s="135">
        <v>0</v>
      </c>
      <c r="L593" s="136">
        <v>0</v>
      </c>
      <c r="M593" s="135">
        <v>0</v>
      </c>
      <c r="N593" s="136">
        <v>0</v>
      </c>
      <c r="O593" s="135">
        <v>3</v>
      </c>
      <c r="P593" s="136">
        <v>3.2221059428571426</v>
      </c>
      <c r="Q593" s="135">
        <v>0</v>
      </c>
      <c r="R593" s="136">
        <v>0</v>
      </c>
    </row>
    <row r="594" spans="1:18">
      <c r="A594" s="99" t="s">
        <v>93</v>
      </c>
      <c r="B594" s="94">
        <f t="shared" si="167"/>
        <v>6</v>
      </c>
      <c r="C594" s="95">
        <f t="shared" si="168"/>
        <v>19.556693209376323</v>
      </c>
      <c r="D594" s="96">
        <f t="shared" si="169"/>
        <v>6.7025138069501319E-2</v>
      </c>
      <c r="F594" s="97" t="s">
        <v>93</v>
      </c>
      <c r="G594" s="135">
        <v>1</v>
      </c>
      <c r="H594" s="136">
        <v>2.4855781600000002</v>
      </c>
      <c r="I594" s="135">
        <v>3</v>
      </c>
      <c r="J594" s="136">
        <v>15.5</v>
      </c>
      <c r="K594" s="135">
        <v>0</v>
      </c>
      <c r="L594" s="136">
        <v>0</v>
      </c>
      <c r="M594" s="135">
        <v>0</v>
      </c>
      <c r="N594" s="136">
        <v>0</v>
      </c>
      <c r="O594" s="135">
        <v>2</v>
      </c>
      <c r="P594" s="136">
        <v>1.5711150493763253</v>
      </c>
      <c r="Q594" s="135">
        <v>0</v>
      </c>
      <c r="R594" s="136">
        <v>0</v>
      </c>
    </row>
    <row r="595" spans="1:18">
      <c r="A595" s="99" t="s">
        <v>94</v>
      </c>
      <c r="B595" s="94">
        <f t="shared" si="167"/>
        <v>13</v>
      </c>
      <c r="C595" s="95">
        <f t="shared" si="168"/>
        <v>15.531420046666666</v>
      </c>
      <c r="D595" s="96">
        <f t="shared" si="169"/>
        <v>5.3229631507649547E-2</v>
      </c>
      <c r="F595" s="97" t="s">
        <v>94</v>
      </c>
      <c r="G595" s="135">
        <v>2</v>
      </c>
      <c r="H595" s="136">
        <v>6.3650134000000005</v>
      </c>
      <c r="I595" s="135">
        <v>0</v>
      </c>
      <c r="J595" s="136">
        <v>0</v>
      </c>
      <c r="K595" s="135">
        <v>0</v>
      </c>
      <c r="L595" s="136">
        <v>0</v>
      </c>
      <c r="M595" s="135">
        <v>0</v>
      </c>
      <c r="N595" s="136">
        <v>0</v>
      </c>
      <c r="O595" s="135">
        <v>11</v>
      </c>
      <c r="P595" s="136">
        <v>9.1664066466666654</v>
      </c>
      <c r="Q595" s="135">
        <v>0</v>
      </c>
      <c r="R595" s="136">
        <v>0</v>
      </c>
    </row>
    <row r="596" spans="1:18">
      <c r="A596" s="99" t="s">
        <v>95</v>
      </c>
      <c r="B596" s="94">
        <f t="shared" si="167"/>
        <v>9</v>
      </c>
      <c r="C596" s="95">
        <f t="shared" si="168"/>
        <v>20.481612458693348</v>
      </c>
      <c r="D596" s="96">
        <f t="shared" si="169"/>
        <v>7.0195042087778353E-2</v>
      </c>
      <c r="F596" s="97" t="s">
        <v>95</v>
      </c>
      <c r="G596" s="135">
        <v>1</v>
      </c>
      <c r="H596" s="136">
        <v>2.25</v>
      </c>
      <c r="I596" s="135">
        <v>7</v>
      </c>
      <c r="J596" s="136">
        <v>17.079999999999998</v>
      </c>
      <c r="K596" s="135">
        <v>0</v>
      </c>
      <c r="L596" s="136">
        <v>0</v>
      </c>
      <c r="M596" s="135">
        <v>0</v>
      </c>
      <c r="N596" s="136">
        <v>0</v>
      </c>
      <c r="O596" s="135">
        <v>1</v>
      </c>
      <c r="P596" s="136">
        <v>1.1516124586933489</v>
      </c>
      <c r="Q596" s="135">
        <v>0</v>
      </c>
      <c r="R596" s="136">
        <v>0</v>
      </c>
    </row>
    <row r="597" spans="1:18">
      <c r="A597" s="99" t="s">
        <v>96</v>
      </c>
      <c r="B597" s="94">
        <f t="shared" si="167"/>
        <v>2</v>
      </c>
      <c r="C597" s="95">
        <f t="shared" si="168"/>
        <v>0.84577299999999989</v>
      </c>
      <c r="D597" s="96">
        <f t="shared" si="169"/>
        <v>2.898652215563602E-3</v>
      </c>
      <c r="F597" s="97" t="s">
        <v>96</v>
      </c>
      <c r="G597" s="135">
        <v>0</v>
      </c>
      <c r="H597" s="136">
        <v>0</v>
      </c>
      <c r="I597" s="135">
        <v>0</v>
      </c>
      <c r="J597" s="136">
        <v>0</v>
      </c>
      <c r="K597" s="135">
        <v>0</v>
      </c>
      <c r="L597" s="136">
        <v>0</v>
      </c>
      <c r="M597" s="135">
        <v>0</v>
      </c>
      <c r="N597" s="136">
        <v>0</v>
      </c>
      <c r="O597" s="135">
        <v>2</v>
      </c>
      <c r="P597" s="136">
        <v>0.84577299999999989</v>
      </c>
      <c r="Q597" s="135">
        <v>0</v>
      </c>
      <c r="R597" s="136">
        <v>0</v>
      </c>
    </row>
    <row r="598" spans="1:18">
      <c r="A598" s="99" t="s">
        <v>97</v>
      </c>
      <c r="B598" s="94">
        <f t="shared" si="167"/>
        <v>0</v>
      </c>
      <c r="C598" s="95">
        <f t="shared" si="168"/>
        <v>0.26636890556597881</v>
      </c>
      <c r="D598" s="96">
        <f t="shared" si="169"/>
        <v>9.1290549388083617E-4</v>
      </c>
      <c r="F598" s="97" t="s">
        <v>97</v>
      </c>
      <c r="G598" s="135">
        <v>0</v>
      </c>
      <c r="H598" s="136">
        <v>0</v>
      </c>
      <c r="I598" s="135">
        <v>0</v>
      </c>
      <c r="J598" s="136">
        <v>0</v>
      </c>
      <c r="K598" s="135">
        <v>0</v>
      </c>
      <c r="L598" s="136">
        <v>0</v>
      </c>
      <c r="M598" s="135">
        <v>0</v>
      </c>
      <c r="N598" s="136">
        <v>0</v>
      </c>
      <c r="O598" s="135">
        <v>0</v>
      </c>
      <c r="P598" s="136">
        <v>0.26636890556597881</v>
      </c>
      <c r="Q598" s="135">
        <v>0</v>
      </c>
      <c r="R598" s="136">
        <v>0</v>
      </c>
    </row>
    <row r="599" spans="1:18">
      <c r="A599" s="99" t="s">
        <v>98</v>
      </c>
      <c r="B599" s="94">
        <f t="shared" si="167"/>
        <v>5</v>
      </c>
      <c r="C599" s="95">
        <f t="shared" si="168"/>
        <v>6.5260175600000006</v>
      </c>
      <c r="D599" s="96">
        <f t="shared" si="169"/>
        <v>2.2366113908934167E-2</v>
      </c>
      <c r="F599" s="97" t="s">
        <v>98</v>
      </c>
      <c r="G599" s="135">
        <v>2</v>
      </c>
      <c r="H599" s="136">
        <v>5.1860245599999999</v>
      </c>
      <c r="I599" s="135">
        <v>0</v>
      </c>
      <c r="J599" s="136">
        <v>0</v>
      </c>
      <c r="K599" s="135">
        <v>0</v>
      </c>
      <c r="L599" s="136">
        <v>0</v>
      </c>
      <c r="M599" s="135">
        <v>0</v>
      </c>
      <c r="N599" s="136">
        <v>0</v>
      </c>
      <c r="O599" s="135">
        <v>3</v>
      </c>
      <c r="P599" s="136">
        <v>1.3399930000000004</v>
      </c>
      <c r="Q599" s="135">
        <v>0</v>
      </c>
      <c r="R599" s="136">
        <v>0</v>
      </c>
    </row>
    <row r="600" spans="1:18">
      <c r="A600" s="99" t="s">
        <v>99</v>
      </c>
      <c r="B600" s="94">
        <f t="shared" si="167"/>
        <v>28</v>
      </c>
      <c r="C600" s="95">
        <f t="shared" si="168"/>
        <v>56.732290444502254</v>
      </c>
      <c r="D600" s="96">
        <f t="shared" si="169"/>
        <v>0.19443417960960477</v>
      </c>
      <c r="F600" s="97" t="s">
        <v>99</v>
      </c>
      <c r="G600" s="135">
        <v>1</v>
      </c>
      <c r="H600" s="136">
        <v>19.911771730000002</v>
      </c>
      <c r="I600" s="135">
        <v>5</v>
      </c>
      <c r="J600" s="136">
        <v>27.175000000000001</v>
      </c>
      <c r="K600" s="135">
        <v>0</v>
      </c>
      <c r="L600" s="136">
        <v>0</v>
      </c>
      <c r="M600" s="135">
        <v>0</v>
      </c>
      <c r="N600" s="136">
        <v>0</v>
      </c>
      <c r="O600" s="135">
        <v>22</v>
      </c>
      <c r="P600" s="136">
        <v>9.6455187145022503</v>
      </c>
      <c r="Q600" s="135">
        <v>0</v>
      </c>
      <c r="R600" s="136">
        <v>0</v>
      </c>
    </row>
    <row r="601" spans="1:18">
      <c r="A601" s="99" t="s">
        <v>100</v>
      </c>
      <c r="B601" s="94">
        <f t="shared" si="167"/>
        <v>28</v>
      </c>
      <c r="C601" s="95">
        <f t="shared" si="168"/>
        <v>131.38805857</v>
      </c>
      <c r="D601" s="96">
        <f t="shared" si="169"/>
        <v>0.45029610435959871</v>
      </c>
      <c r="F601" s="97" t="s">
        <v>100</v>
      </c>
      <c r="G601" s="135">
        <v>8</v>
      </c>
      <c r="H601" s="136">
        <v>49.56537196</v>
      </c>
      <c r="I601" s="135">
        <v>10</v>
      </c>
      <c r="J601" s="136">
        <v>72.704999999999998</v>
      </c>
      <c r="K601" s="135">
        <v>0</v>
      </c>
      <c r="L601" s="136">
        <v>0</v>
      </c>
      <c r="M601" s="135">
        <v>0</v>
      </c>
      <c r="N601" s="136">
        <v>0</v>
      </c>
      <c r="O601" s="135">
        <v>10</v>
      </c>
      <c r="P601" s="136">
        <v>9.1176866099999998</v>
      </c>
      <c r="Q601" s="135">
        <v>0</v>
      </c>
      <c r="R601" s="136">
        <v>0</v>
      </c>
    </row>
    <row r="602" spans="1:18">
      <c r="A602" s="99" t="s">
        <v>101</v>
      </c>
      <c r="B602" s="94">
        <f t="shared" si="167"/>
        <v>9</v>
      </c>
      <c r="C602" s="95">
        <f t="shared" si="168"/>
        <v>30.107251668205127</v>
      </c>
      <c r="D602" s="96">
        <f t="shared" si="169"/>
        <v>0.10318424890907342</v>
      </c>
      <c r="F602" s="97" t="s">
        <v>101</v>
      </c>
      <c r="G602" s="135">
        <v>1</v>
      </c>
      <c r="H602" s="136">
        <v>9.9794685399999992</v>
      </c>
      <c r="I602" s="135">
        <v>4</v>
      </c>
      <c r="J602" s="136">
        <v>15.633578</v>
      </c>
      <c r="K602" s="135">
        <v>0</v>
      </c>
      <c r="L602" s="136">
        <v>0</v>
      </c>
      <c r="M602" s="135">
        <v>0</v>
      </c>
      <c r="N602" s="136">
        <v>0</v>
      </c>
      <c r="O602" s="135">
        <v>4</v>
      </c>
      <c r="P602" s="136">
        <v>4.4942051282051274</v>
      </c>
      <c r="Q602" s="135">
        <v>0</v>
      </c>
      <c r="R602" s="136">
        <v>0</v>
      </c>
    </row>
    <row r="603" spans="1:18">
      <c r="A603" s="84" t="s">
        <v>55</v>
      </c>
      <c r="B603" s="85">
        <f>B604+B616</f>
        <v>21923</v>
      </c>
      <c r="C603" s="86">
        <f>C604+C616</f>
        <v>24334.372304185265</v>
      </c>
      <c r="D603" s="87">
        <f>D604+D616</f>
        <v>1</v>
      </c>
      <c r="F603" s="84" t="s">
        <v>55</v>
      </c>
      <c r="G603" s="85">
        <f>SUM(G605:G615)</f>
        <v>212</v>
      </c>
      <c r="H603" s="86">
        <f t="shared" ref="H603:R603" si="170">SUM(H605:H615)</f>
        <v>17146.699931739997</v>
      </c>
      <c r="I603" s="85">
        <f t="shared" si="170"/>
        <v>51</v>
      </c>
      <c r="J603" s="86">
        <f t="shared" si="170"/>
        <v>367.64157600999999</v>
      </c>
      <c r="K603" s="85">
        <f t="shared" si="170"/>
        <v>1</v>
      </c>
      <c r="L603" s="86">
        <f t="shared" si="170"/>
        <v>20</v>
      </c>
      <c r="M603" s="85">
        <f t="shared" si="170"/>
        <v>0</v>
      </c>
      <c r="N603" s="86">
        <f t="shared" si="170"/>
        <v>0</v>
      </c>
      <c r="O603" s="85">
        <f t="shared" si="170"/>
        <v>324</v>
      </c>
      <c r="P603" s="86">
        <f t="shared" si="170"/>
        <v>348.10837023469549</v>
      </c>
      <c r="Q603" s="85">
        <f t="shared" si="170"/>
        <v>21335</v>
      </c>
      <c r="R603" s="86">
        <f t="shared" si="170"/>
        <v>6451.9224262005719</v>
      </c>
    </row>
    <row r="604" spans="1:18">
      <c r="A604" s="88" t="s">
        <v>90</v>
      </c>
      <c r="B604" s="89">
        <f>SUM(B605:B615)</f>
        <v>588</v>
      </c>
      <c r="C604" s="90">
        <f>SUM(C605:C615)</f>
        <v>17882.449877984694</v>
      </c>
      <c r="D604" s="91">
        <f>SUM(D605:D615)</f>
        <v>0.73486382366678482</v>
      </c>
      <c r="F604" s="92"/>
      <c r="G604" s="89"/>
      <c r="H604" s="90"/>
      <c r="I604" s="89"/>
      <c r="J604" s="90"/>
      <c r="K604" s="89"/>
      <c r="L604" s="90"/>
      <c r="M604" s="89"/>
      <c r="N604" s="90"/>
      <c r="O604" s="89"/>
      <c r="P604" s="90"/>
      <c r="Q604" s="89"/>
      <c r="R604" s="90"/>
    </row>
    <row r="605" spans="1:18">
      <c r="A605" s="93" t="s">
        <v>91</v>
      </c>
      <c r="B605" s="94">
        <f t="shared" ref="B605:B615" si="171">G605+I605+K605+M605+O605</f>
        <v>105</v>
      </c>
      <c r="C605" s="95">
        <f t="shared" ref="C605:C615" si="172">H605+J605+L605+N605+P605</f>
        <v>1846.6799748999999</v>
      </c>
      <c r="D605" s="96">
        <f>C605/$C$603</f>
        <v>7.5887717661917653E-2</v>
      </c>
      <c r="F605" s="97" t="s">
        <v>91</v>
      </c>
      <c r="G605" s="135">
        <v>31</v>
      </c>
      <c r="H605" s="136">
        <v>1721.8143249</v>
      </c>
      <c r="I605" s="135">
        <v>15</v>
      </c>
      <c r="J605" s="136">
        <v>64.422353999999999</v>
      </c>
      <c r="K605" s="135">
        <v>0</v>
      </c>
      <c r="L605" s="136">
        <v>0</v>
      </c>
      <c r="M605" s="135">
        <v>0</v>
      </c>
      <c r="N605" s="136">
        <v>0</v>
      </c>
      <c r="O605" s="135">
        <v>59</v>
      </c>
      <c r="P605" s="136">
        <v>60.443295999999975</v>
      </c>
      <c r="Q605" s="135">
        <v>0</v>
      </c>
      <c r="R605" s="136">
        <v>0</v>
      </c>
    </row>
    <row r="606" spans="1:18">
      <c r="A606" s="93" t="s">
        <v>92</v>
      </c>
      <c r="B606" s="94">
        <f t="shared" si="171"/>
        <v>44</v>
      </c>
      <c r="C606" s="95">
        <f t="shared" si="172"/>
        <v>1116.9027891600001</v>
      </c>
      <c r="D606" s="96">
        <f t="shared" ref="D606:D618" si="173">C606/$C$603</f>
        <v>4.589815488965393E-2</v>
      </c>
      <c r="F606" s="97" t="s">
        <v>92</v>
      </c>
      <c r="G606" s="135">
        <v>20</v>
      </c>
      <c r="H606" s="136">
        <v>1096.9440891600002</v>
      </c>
      <c r="I606" s="135">
        <v>3</v>
      </c>
      <c r="J606" s="136">
        <v>5.8</v>
      </c>
      <c r="K606" s="135">
        <v>0</v>
      </c>
      <c r="L606" s="136">
        <v>0</v>
      </c>
      <c r="M606" s="135">
        <v>0</v>
      </c>
      <c r="N606" s="136">
        <v>0</v>
      </c>
      <c r="O606" s="135">
        <v>21</v>
      </c>
      <c r="P606" s="136">
        <v>14.1587</v>
      </c>
      <c r="Q606" s="135">
        <v>0</v>
      </c>
      <c r="R606" s="136">
        <v>0</v>
      </c>
    </row>
    <row r="607" spans="1:18">
      <c r="A607" s="93" t="s">
        <v>93</v>
      </c>
      <c r="B607" s="94">
        <f t="shared" si="171"/>
        <v>66</v>
      </c>
      <c r="C607" s="95">
        <f t="shared" si="172"/>
        <v>2972.1147130322333</v>
      </c>
      <c r="D607" s="96">
        <f t="shared" si="173"/>
        <v>0.12213648562124858</v>
      </c>
      <c r="F607" s="97" t="s">
        <v>93</v>
      </c>
      <c r="G607" s="135">
        <v>25</v>
      </c>
      <c r="H607" s="136">
        <v>2928.2981223399997</v>
      </c>
      <c r="I607" s="135">
        <v>2</v>
      </c>
      <c r="J607" s="136">
        <v>8</v>
      </c>
      <c r="K607" s="135">
        <v>0</v>
      </c>
      <c r="L607" s="136">
        <v>0</v>
      </c>
      <c r="M607" s="135">
        <v>0</v>
      </c>
      <c r="N607" s="136">
        <v>0</v>
      </c>
      <c r="O607" s="135">
        <v>39</v>
      </c>
      <c r="P607" s="136">
        <v>35.816590692233476</v>
      </c>
      <c r="Q607" s="135">
        <v>0</v>
      </c>
      <c r="R607" s="136">
        <v>0</v>
      </c>
    </row>
    <row r="608" spans="1:18">
      <c r="A608" s="93" t="s">
        <v>94</v>
      </c>
      <c r="B608" s="94">
        <f t="shared" si="171"/>
        <v>63</v>
      </c>
      <c r="C608" s="95">
        <f t="shared" si="172"/>
        <v>1363.4211022584211</v>
      </c>
      <c r="D608" s="96">
        <f t="shared" si="173"/>
        <v>5.6028611924537973E-2</v>
      </c>
      <c r="F608" s="97" t="s">
        <v>94</v>
      </c>
      <c r="G608" s="135">
        <v>20</v>
      </c>
      <c r="H608" s="136">
        <v>1309.77989989</v>
      </c>
      <c r="I608" s="135">
        <v>4</v>
      </c>
      <c r="J608" s="136">
        <v>8</v>
      </c>
      <c r="K608" s="135">
        <v>1</v>
      </c>
      <c r="L608" s="136">
        <v>20</v>
      </c>
      <c r="M608" s="135">
        <v>0</v>
      </c>
      <c r="N608" s="136">
        <v>0</v>
      </c>
      <c r="O608" s="135">
        <v>38</v>
      </c>
      <c r="P608" s="136">
        <v>25.641202368421059</v>
      </c>
      <c r="Q608" s="135">
        <v>13692</v>
      </c>
      <c r="R608" s="136">
        <v>3864.2563687108068</v>
      </c>
    </row>
    <row r="609" spans="1:18">
      <c r="A609" s="93" t="s">
        <v>95</v>
      </c>
      <c r="B609" s="94">
        <f t="shared" si="171"/>
        <v>45</v>
      </c>
      <c r="C609" s="95">
        <f t="shared" si="172"/>
        <v>782.21149699676835</v>
      </c>
      <c r="D609" s="96">
        <f t="shared" si="173"/>
        <v>3.2144305479465188E-2</v>
      </c>
      <c r="F609" s="97" t="s">
        <v>95</v>
      </c>
      <c r="G609" s="135">
        <v>17</v>
      </c>
      <c r="H609" s="136">
        <v>683.66531165000015</v>
      </c>
      <c r="I609" s="135">
        <v>12</v>
      </c>
      <c r="J609" s="136">
        <v>84.613900000000001</v>
      </c>
      <c r="K609" s="135">
        <v>0</v>
      </c>
      <c r="L609" s="136">
        <v>0</v>
      </c>
      <c r="M609" s="135">
        <v>0</v>
      </c>
      <c r="N609" s="136">
        <v>0</v>
      </c>
      <c r="O609" s="135">
        <v>16</v>
      </c>
      <c r="P609" s="136">
        <v>13.932285346768142</v>
      </c>
      <c r="Q609" s="135">
        <v>0</v>
      </c>
      <c r="R609" s="136">
        <v>0</v>
      </c>
    </row>
    <row r="610" spans="1:18">
      <c r="A610" s="93" t="s">
        <v>96</v>
      </c>
      <c r="B610" s="94">
        <f t="shared" si="171"/>
        <v>16</v>
      </c>
      <c r="C610" s="95">
        <f t="shared" si="172"/>
        <v>202.60402572999996</v>
      </c>
      <c r="D610" s="96">
        <f t="shared" si="173"/>
        <v>8.3258373463429812E-3</v>
      </c>
      <c r="F610" s="97" t="s">
        <v>96</v>
      </c>
      <c r="G610" s="135">
        <v>7</v>
      </c>
      <c r="H610" s="136">
        <v>188.98556493999996</v>
      </c>
      <c r="I610" s="135">
        <v>0</v>
      </c>
      <c r="J610" s="136">
        <v>0</v>
      </c>
      <c r="K610" s="135">
        <v>0</v>
      </c>
      <c r="L610" s="136">
        <v>0</v>
      </c>
      <c r="M610" s="135">
        <v>0</v>
      </c>
      <c r="N610" s="136">
        <v>0</v>
      </c>
      <c r="O610" s="135">
        <v>9</v>
      </c>
      <c r="P610" s="136">
        <v>13.618460790000002</v>
      </c>
      <c r="Q610" s="135">
        <v>7643</v>
      </c>
      <c r="R610" s="136">
        <v>2587.6660574897646</v>
      </c>
    </row>
    <row r="611" spans="1:18">
      <c r="A611" s="93" t="s">
        <v>97</v>
      </c>
      <c r="B611" s="94">
        <f t="shared" si="171"/>
        <v>0</v>
      </c>
      <c r="C611" s="95">
        <f t="shared" si="172"/>
        <v>0.6948689055659788</v>
      </c>
      <c r="D611" s="96">
        <f t="shared" si="173"/>
        <v>2.8555037166357005E-5</v>
      </c>
      <c r="F611" s="97" t="s">
        <v>97</v>
      </c>
      <c r="G611" s="135">
        <v>0</v>
      </c>
      <c r="H611" s="136">
        <v>0</v>
      </c>
      <c r="I611" s="135">
        <v>0</v>
      </c>
      <c r="J611" s="136">
        <v>0</v>
      </c>
      <c r="K611" s="135">
        <v>0</v>
      </c>
      <c r="L611" s="136">
        <v>0</v>
      </c>
      <c r="M611" s="135">
        <v>0</v>
      </c>
      <c r="N611" s="136">
        <v>0</v>
      </c>
      <c r="O611" s="135">
        <v>0</v>
      </c>
      <c r="P611" s="136">
        <v>0.6948689055659788</v>
      </c>
      <c r="Q611" s="135">
        <v>0</v>
      </c>
      <c r="R611" s="136">
        <v>0</v>
      </c>
    </row>
    <row r="612" spans="1:18">
      <c r="A612" s="93" t="s">
        <v>98</v>
      </c>
      <c r="B612" s="94">
        <f t="shared" si="171"/>
        <v>7</v>
      </c>
      <c r="C612" s="95">
        <f t="shared" si="172"/>
        <v>153.65726081</v>
      </c>
      <c r="D612" s="96">
        <f t="shared" si="173"/>
        <v>6.3144123419025897E-3</v>
      </c>
      <c r="F612" s="97" t="s">
        <v>98</v>
      </c>
      <c r="G612" s="135">
        <v>4</v>
      </c>
      <c r="H612" s="136">
        <v>148.36579781</v>
      </c>
      <c r="I612" s="135">
        <v>1</v>
      </c>
      <c r="J612" s="136">
        <v>2</v>
      </c>
      <c r="K612" s="135">
        <v>0</v>
      </c>
      <c r="L612" s="136">
        <v>0</v>
      </c>
      <c r="M612" s="135">
        <v>0</v>
      </c>
      <c r="N612" s="136">
        <v>0</v>
      </c>
      <c r="O612" s="135">
        <v>2</v>
      </c>
      <c r="P612" s="136">
        <v>3.2914630000000002</v>
      </c>
      <c r="Q612" s="135">
        <v>0</v>
      </c>
      <c r="R612" s="136">
        <v>0</v>
      </c>
    </row>
    <row r="613" spans="1:18">
      <c r="A613" s="93" t="s">
        <v>99</v>
      </c>
      <c r="B613" s="94">
        <f t="shared" si="171"/>
        <v>88</v>
      </c>
      <c r="C613" s="95">
        <f t="shared" si="172"/>
        <v>1832.132198113502</v>
      </c>
      <c r="D613" s="96">
        <f t="shared" si="173"/>
        <v>7.5289889347110631E-2</v>
      </c>
      <c r="F613" s="97" t="s">
        <v>99</v>
      </c>
      <c r="G613" s="135">
        <v>19</v>
      </c>
      <c r="H613" s="136">
        <v>1776.3093581100002</v>
      </c>
      <c r="I613" s="135">
        <v>0</v>
      </c>
      <c r="J613" s="136">
        <v>0</v>
      </c>
      <c r="K613" s="135">
        <v>0</v>
      </c>
      <c r="L613" s="136">
        <v>0</v>
      </c>
      <c r="M613" s="135">
        <v>0</v>
      </c>
      <c r="N613" s="136">
        <v>0</v>
      </c>
      <c r="O613" s="135">
        <v>69</v>
      </c>
      <c r="P613" s="136">
        <v>55.822840003501746</v>
      </c>
      <c r="Q613" s="135">
        <v>0</v>
      </c>
      <c r="R613" s="136">
        <v>0</v>
      </c>
    </row>
    <row r="614" spans="1:18">
      <c r="A614" s="93" t="s">
        <v>100</v>
      </c>
      <c r="B614" s="94">
        <f t="shared" si="171"/>
        <v>96</v>
      </c>
      <c r="C614" s="95">
        <f t="shared" si="172"/>
        <v>6006.2754403299987</v>
      </c>
      <c r="D614" s="96">
        <f t="shared" si="173"/>
        <v>0.24682269857838002</v>
      </c>
      <c r="F614" s="97" t="s">
        <v>100</v>
      </c>
      <c r="G614" s="135">
        <v>48</v>
      </c>
      <c r="H614" s="136">
        <v>5751.8506433199982</v>
      </c>
      <c r="I614" s="135">
        <v>8</v>
      </c>
      <c r="J614" s="136">
        <v>179.80532201</v>
      </c>
      <c r="K614" s="135">
        <v>0</v>
      </c>
      <c r="L614" s="136">
        <v>0</v>
      </c>
      <c r="M614" s="135">
        <v>0</v>
      </c>
      <c r="N614" s="136">
        <v>0</v>
      </c>
      <c r="O614" s="135">
        <v>40</v>
      </c>
      <c r="P614" s="136">
        <v>74.619474999999966</v>
      </c>
      <c r="Q614" s="135">
        <v>0</v>
      </c>
      <c r="R614" s="136">
        <v>0</v>
      </c>
    </row>
    <row r="615" spans="1:18">
      <c r="A615" s="93" t="s">
        <v>101</v>
      </c>
      <c r="B615" s="94">
        <f t="shared" si="171"/>
        <v>58</v>
      </c>
      <c r="C615" s="95">
        <f t="shared" si="172"/>
        <v>1605.7560077482049</v>
      </c>
      <c r="D615" s="96">
        <f t="shared" si="173"/>
        <v>6.5987155439058975E-2</v>
      </c>
      <c r="F615" s="97" t="s">
        <v>101</v>
      </c>
      <c r="G615" s="135">
        <v>21</v>
      </c>
      <c r="H615" s="136">
        <v>1540.6868196199998</v>
      </c>
      <c r="I615" s="135">
        <v>6</v>
      </c>
      <c r="J615" s="136">
        <v>15</v>
      </c>
      <c r="K615" s="135">
        <v>0</v>
      </c>
      <c r="L615" s="136">
        <v>0</v>
      </c>
      <c r="M615" s="135">
        <v>0</v>
      </c>
      <c r="N615" s="136">
        <v>0</v>
      </c>
      <c r="O615" s="135">
        <v>31</v>
      </c>
      <c r="P615" s="136">
        <v>50.069188128205127</v>
      </c>
      <c r="Q615" s="135">
        <v>0</v>
      </c>
      <c r="R615" s="136">
        <v>0</v>
      </c>
    </row>
    <row r="616" spans="1:18" ht="17.25">
      <c r="A616" s="104" t="s">
        <v>103</v>
      </c>
      <c r="B616" s="89">
        <f>SUM(B617:B618)</f>
        <v>21335</v>
      </c>
      <c r="C616" s="90">
        <f>SUM(C617:C618)</f>
        <v>6451.9224262005719</v>
      </c>
      <c r="D616" s="91">
        <f>SUM(D617:D618)</f>
        <v>0.26513617633321518</v>
      </c>
      <c r="E616" s="123"/>
      <c r="F616" s="97"/>
      <c r="G616" s="98"/>
      <c r="H616" s="98"/>
      <c r="I616" s="98"/>
      <c r="J616" s="98"/>
      <c r="K616" s="98"/>
      <c r="L616" s="98"/>
      <c r="M616" s="98"/>
      <c r="N616" s="98"/>
      <c r="O616" s="98"/>
      <c r="P616" s="98"/>
      <c r="Q616" s="98"/>
      <c r="R616" s="98"/>
    </row>
    <row r="617" spans="1:18">
      <c r="A617" s="93" t="s">
        <v>94</v>
      </c>
      <c r="B617" s="94">
        <f>Q608</f>
        <v>13692</v>
      </c>
      <c r="C617" s="95">
        <f>R608</f>
        <v>3864.2563687108068</v>
      </c>
      <c r="D617" s="96">
        <f t="shared" si="173"/>
        <v>0.15879827596975632</v>
      </c>
      <c r="F617" s="97"/>
      <c r="G617" s="98"/>
      <c r="H617" s="98"/>
      <c r="I617" s="98"/>
      <c r="J617" s="98"/>
      <c r="K617" s="98"/>
      <c r="L617" s="98"/>
      <c r="M617" s="98"/>
      <c r="N617" s="98"/>
      <c r="O617" s="98"/>
      <c r="P617" s="98"/>
      <c r="Q617" s="98"/>
      <c r="R617" s="98"/>
    </row>
    <row r="618" spans="1:18">
      <c r="A618" s="93" t="s">
        <v>96</v>
      </c>
      <c r="B618" s="94">
        <f>Q610</f>
        <v>7643</v>
      </c>
      <c r="C618" s="95">
        <f>R610</f>
        <v>2587.6660574897646</v>
      </c>
      <c r="D618" s="96">
        <f t="shared" si="173"/>
        <v>0.10633790036345883</v>
      </c>
      <c r="F618" s="97"/>
      <c r="G618" s="98"/>
      <c r="H618" s="98"/>
      <c r="I618" s="98"/>
      <c r="J618" s="98"/>
      <c r="K618" s="98"/>
      <c r="L618" s="98"/>
      <c r="M618" s="98"/>
      <c r="N618" s="98"/>
      <c r="O618" s="98"/>
      <c r="P618" s="98"/>
      <c r="Q618" s="98"/>
      <c r="R618" s="98"/>
    </row>
    <row r="619" spans="1:18">
      <c r="A619" s="110" t="s">
        <v>4</v>
      </c>
      <c r="B619" s="111">
        <f>B603+B591+B575+B563+B551+B539+B527+B511+B495+B489+B473+B461+B453+B437+B421+B409+B397+B381+B369+B353+B341+B325+B309+B297+B285+B269+B257+B241+B233+B221+B205+B189+B173+B170+B154+B142+B130+B118+B102+B86+B83+B67+B51+B35+B19+B3</f>
        <v>70465</v>
      </c>
      <c r="C619" s="112">
        <f>C603+C591+C575+C563+C551+C539+C527+C511+C495+C489+C473+C461+C453+C437+C421+C409+C397+C381+C369+C353+C341+C325+C309+C297+C285+C269+C257+C241+C233+C221+C205+C189+C173+C170+C154+C142+C130+C118+C102+C86+C83+C67+C51+C35+C19+C3</f>
        <v>410066.3536591939</v>
      </c>
      <c r="D619" s="113"/>
      <c r="F619" s="75" t="s">
        <v>4</v>
      </c>
      <c r="G619" s="112">
        <f>SUBTOTAL(9,G3:G617)</f>
        <v>8330</v>
      </c>
      <c r="H619" s="112">
        <f t="shared" ref="H619:R619" si="174">SUBTOTAL(9,H3:H617)</f>
        <v>714900.93424141116</v>
      </c>
      <c r="I619" s="112">
        <f t="shared" si="174"/>
        <v>2260</v>
      </c>
      <c r="J619" s="112">
        <f t="shared" si="174"/>
        <v>35392.88424122001</v>
      </c>
      <c r="K619" s="112">
        <f t="shared" si="174"/>
        <v>96</v>
      </c>
      <c r="L619" s="112">
        <f t="shared" si="174"/>
        <v>2291.0146044964949</v>
      </c>
      <c r="M619" s="112">
        <f t="shared" si="174"/>
        <v>44</v>
      </c>
      <c r="N619" s="112">
        <f t="shared" si="174"/>
        <v>2780.7011682399998</v>
      </c>
      <c r="O619" s="112">
        <f t="shared" si="174"/>
        <v>14488</v>
      </c>
      <c r="P619" s="112">
        <f t="shared" si="174"/>
        <v>11250.754345452537</v>
      </c>
      <c r="Q619" s="112">
        <f t="shared" si="174"/>
        <v>115712</v>
      </c>
      <c r="R619" s="112">
        <f t="shared" si="174"/>
        <v>53516.41871756762</v>
      </c>
    </row>
    <row r="620" spans="1:18">
      <c r="A620" s="127" t="s">
        <v>114</v>
      </c>
    </row>
    <row r="621" spans="1:18" ht="17.25">
      <c r="A621" s="75" t="s">
        <v>115</v>
      </c>
    </row>
    <row r="622" spans="1:18" ht="17.25">
      <c r="A622" s="75" t="s">
        <v>116</v>
      </c>
    </row>
    <row r="623" spans="1:18" ht="17.25">
      <c r="A623" s="75" t="s">
        <v>117</v>
      </c>
    </row>
    <row r="624" spans="1:18">
      <c r="A624" s="142" t="s">
        <v>118</v>
      </c>
      <c r="B624" s="142"/>
      <c r="C624" s="142"/>
      <c r="D624" s="142"/>
    </row>
    <row r="625" spans="1:7">
      <c r="A625" s="142"/>
      <c r="B625" s="142"/>
      <c r="C625" s="142"/>
      <c r="D625" s="142"/>
    </row>
    <row r="626" spans="1:7" ht="17.25">
      <c r="A626" s="75" t="s">
        <v>119</v>
      </c>
    </row>
    <row r="627" spans="1:7" ht="17.25">
      <c r="A627" s="114" t="s">
        <v>120</v>
      </c>
    </row>
    <row r="628" spans="1:7" ht="17.25">
      <c r="A628" s="75" t="s">
        <v>121</v>
      </c>
      <c r="E628" s="123"/>
    </row>
    <row r="629" spans="1:7" ht="17.25">
      <c r="A629" s="75" t="s">
        <v>122</v>
      </c>
      <c r="E629" s="123"/>
    </row>
    <row r="630" spans="1:7" ht="17.25" customHeight="1">
      <c r="A630" s="142" t="s">
        <v>123</v>
      </c>
      <c r="B630" s="142"/>
      <c r="C630" s="142"/>
      <c r="D630" s="142"/>
      <c r="E630" s="132" t="s">
        <v>66</v>
      </c>
      <c r="F630" s="126"/>
      <c r="G630" s="124"/>
    </row>
    <row r="631" spans="1:7">
      <c r="A631" s="142"/>
      <c r="B631" s="142"/>
      <c r="C631" s="142"/>
      <c r="D631" s="142"/>
      <c r="E631" s="129"/>
      <c r="F631" s="126"/>
      <c r="G631" s="124"/>
    </row>
    <row r="632" spans="1:7">
      <c r="B632" s="94"/>
      <c r="C632" s="94"/>
    </row>
    <row r="633" spans="1:7">
      <c r="A633" s="115" t="s">
        <v>67</v>
      </c>
      <c r="B633" s="115"/>
      <c r="C633" s="115"/>
    </row>
    <row r="634" spans="1:7">
      <c r="A634" s="116" t="s">
        <v>68</v>
      </c>
      <c r="B634" s="143" t="s">
        <v>69</v>
      </c>
      <c r="C634" s="143"/>
    </row>
    <row r="635" spans="1:7">
      <c r="A635" s="117" t="s">
        <v>7</v>
      </c>
      <c r="B635" s="141" t="s">
        <v>124</v>
      </c>
      <c r="C635" s="141"/>
    </row>
    <row r="636" spans="1:7">
      <c r="A636" s="117" t="s">
        <v>11</v>
      </c>
      <c r="B636" s="141" t="s">
        <v>125</v>
      </c>
      <c r="C636" s="141"/>
    </row>
    <row r="637" spans="1:7">
      <c r="A637" s="117" t="s">
        <v>12</v>
      </c>
      <c r="B637" s="141" t="s">
        <v>126</v>
      </c>
      <c r="C637" s="141"/>
    </row>
    <row r="638" spans="1:7">
      <c r="A638" s="117" t="s">
        <v>15</v>
      </c>
      <c r="B638" s="141" t="s">
        <v>127</v>
      </c>
      <c r="C638" s="141"/>
    </row>
    <row r="639" spans="1:7">
      <c r="A639" s="117" t="s">
        <v>23</v>
      </c>
      <c r="B639" s="141" t="s">
        <v>128</v>
      </c>
      <c r="C639" s="141"/>
    </row>
    <row r="640" spans="1:7">
      <c r="A640" s="117" t="s">
        <v>25</v>
      </c>
      <c r="B640" s="141" t="s">
        <v>129</v>
      </c>
      <c r="C640" s="141"/>
    </row>
    <row r="641" spans="1:5">
      <c r="A641" s="117" t="s">
        <v>26</v>
      </c>
      <c r="B641" s="141" t="s">
        <v>130</v>
      </c>
      <c r="C641" s="141"/>
    </row>
    <row r="642" spans="1:5">
      <c r="A642" s="117" t="s">
        <v>28</v>
      </c>
      <c r="B642" s="141" t="s">
        <v>131</v>
      </c>
      <c r="C642" s="141"/>
    </row>
    <row r="643" spans="1:5">
      <c r="A643" s="117" t="s">
        <v>30</v>
      </c>
      <c r="B643" s="141" t="s">
        <v>132</v>
      </c>
      <c r="C643" s="141"/>
    </row>
    <row r="644" spans="1:5">
      <c r="A644" s="117" t="s">
        <v>35</v>
      </c>
      <c r="B644" s="141" t="s">
        <v>133</v>
      </c>
      <c r="C644" s="141"/>
    </row>
    <row r="645" spans="1:5">
      <c r="A645" s="117" t="s">
        <v>109</v>
      </c>
      <c r="B645" s="141" t="s">
        <v>134</v>
      </c>
      <c r="C645" s="141"/>
    </row>
    <row r="646" spans="1:5">
      <c r="A646" s="117" t="s">
        <v>37</v>
      </c>
      <c r="B646" s="141" t="s">
        <v>135</v>
      </c>
      <c r="C646" s="141"/>
    </row>
    <row r="647" spans="1:5">
      <c r="A647" s="117" t="s">
        <v>39</v>
      </c>
      <c r="B647" s="141" t="s">
        <v>136</v>
      </c>
      <c r="C647" s="141"/>
    </row>
    <row r="648" spans="1:5">
      <c r="A648" s="117" t="s">
        <v>43</v>
      </c>
      <c r="B648" s="141" t="s">
        <v>137</v>
      </c>
      <c r="C648" s="141"/>
    </row>
    <row r="649" spans="1:5">
      <c r="A649" s="117" t="s">
        <v>46</v>
      </c>
      <c r="B649" s="141" t="s">
        <v>138</v>
      </c>
      <c r="C649" s="141"/>
    </row>
    <row r="650" spans="1:5">
      <c r="A650" s="117" t="s">
        <v>47</v>
      </c>
      <c r="B650" s="141" t="s">
        <v>139</v>
      </c>
      <c r="C650" s="141"/>
    </row>
    <row r="651" spans="1:5">
      <c r="A651" s="117" t="s">
        <v>53</v>
      </c>
      <c r="B651" s="141" t="s">
        <v>140</v>
      </c>
      <c r="C651" s="141"/>
    </row>
    <row r="652" spans="1:5">
      <c r="A652" s="117" t="s">
        <v>55</v>
      </c>
      <c r="B652" s="144" t="s">
        <v>141</v>
      </c>
      <c r="C652" s="144"/>
    </row>
    <row r="653" spans="1:5">
      <c r="A653" s="110" t="s">
        <v>4</v>
      </c>
      <c r="B653" s="163"/>
      <c r="C653" s="163"/>
    </row>
    <row r="655" spans="1:5">
      <c r="A655" s="115" t="s">
        <v>142</v>
      </c>
      <c r="B655" s="115"/>
      <c r="C655" s="115"/>
      <c r="D655" s="115"/>
      <c r="E655" s="115"/>
    </row>
    <row r="656" spans="1:5">
      <c r="A656" s="116" t="s">
        <v>68</v>
      </c>
      <c r="B656" s="134" t="s">
        <v>143</v>
      </c>
      <c r="C656" s="115"/>
      <c r="D656" s="115"/>
      <c r="E656" s="115"/>
    </row>
    <row r="657" spans="1:5">
      <c r="A657" s="75" t="s">
        <v>5</v>
      </c>
      <c r="B657" s="137" t="s">
        <v>144</v>
      </c>
      <c r="C657" s="128"/>
      <c r="D657" s="128"/>
      <c r="E657" s="128"/>
    </row>
    <row r="658" spans="1:5">
      <c r="A658" s="75" t="s">
        <v>7</v>
      </c>
      <c r="B658" s="138" t="s">
        <v>145</v>
      </c>
    </row>
    <row r="659" spans="1:5">
      <c r="A659" s="75" t="s">
        <v>11</v>
      </c>
      <c r="B659" s="138" t="s">
        <v>146</v>
      </c>
    </row>
    <row r="660" spans="1:5">
      <c r="A660" s="75" t="s">
        <v>12</v>
      </c>
      <c r="B660" s="138" t="s">
        <v>145</v>
      </c>
    </row>
    <row r="661" spans="1:5">
      <c r="A661" s="75" t="s">
        <v>14</v>
      </c>
      <c r="B661" s="138" t="s">
        <v>145</v>
      </c>
    </row>
    <row r="662" spans="1:5">
      <c r="A662" s="75" t="s">
        <v>105</v>
      </c>
      <c r="B662" s="138" t="s">
        <v>147</v>
      </c>
    </row>
    <row r="663" spans="1:5">
      <c r="A663" s="75" t="s">
        <v>15</v>
      </c>
      <c r="B663" s="138" t="s">
        <v>146</v>
      </c>
    </row>
    <row r="664" spans="1:5">
      <c r="A664" s="75" t="s">
        <v>18</v>
      </c>
      <c r="B664" s="138" t="s">
        <v>148</v>
      </c>
    </row>
    <row r="665" spans="1:5">
      <c r="A665" s="75" t="s">
        <v>20</v>
      </c>
      <c r="B665" s="138" t="s">
        <v>149</v>
      </c>
    </row>
    <row r="666" spans="1:5">
      <c r="A666" s="75" t="s">
        <v>21</v>
      </c>
      <c r="B666" s="138" t="s">
        <v>149</v>
      </c>
    </row>
    <row r="667" spans="1:5">
      <c r="A667" s="75" t="s">
        <v>22</v>
      </c>
      <c r="B667" s="138" t="s">
        <v>149</v>
      </c>
    </row>
    <row r="668" spans="1:5">
      <c r="A668" s="75" t="s">
        <v>23</v>
      </c>
      <c r="B668" s="138" t="s">
        <v>144</v>
      </c>
    </row>
    <row r="669" spans="1:5">
      <c r="A669" s="75" t="s">
        <v>107</v>
      </c>
      <c r="B669" s="138" t="s">
        <v>150</v>
      </c>
    </row>
    <row r="670" spans="1:5">
      <c r="A670" s="75" t="s">
        <v>25</v>
      </c>
      <c r="B670" s="138" t="s">
        <v>148</v>
      </c>
    </row>
    <row r="671" spans="1:5">
      <c r="A671" s="75" t="s">
        <v>26</v>
      </c>
      <c r="B671" s="138" t="s">
        <v>148</v>
      </c>
    </row>
    <row r="672" spans="1:5">
      <c r="A672" s="75" t="s">
        <v>28</v>
      </c>
      <c r="B672" s="138" t="s">
        <v>146</v>
      </c>
    </row>
    <row r="673" spans="1:2">
      <c r="A673" s="75" t="s">
        <v>29</v>
      </c>
      <c r="B673" s="138" t="s">
        <v>149</v>
      </c>
    </row>
    <row r="674" spans="1:2">
      <c r="A674" s="75" t="s">
        <v>108</v>
      </c>
      <c r="B674" s="138" t="s">
        <v>151</v>
      </c>
    </row>
    <row r="675" spans="1:2">
      <c r="A675" s="75" t="s">
        <v>30</v>
      </c>
      <c r="B675" s="138" t="s">
        <v>144</v>
      </c>
    </row>
    <row r="676" spans="1:2">
      <c r="A676" s="75" t="s">
        <v>31</v>
      </c>
      <c r="B676" s="138" t="s">
        <v>152</v>
      </c>
    </row>
    <row r="677" spans="1:2">
      <c r="A677" s="75" t="s">
        <v>32</v>
      </c>
      <c r="B677" s="138" t="s">
        <v>153</v>
      </c>
    </row>
    <row r="678" spans="1:2">
      <c r="A678" s="75" t="s">
        <v>33</v>
      </c>
      <c r="B678" s="138" t="s">
        <v>154</v>
      </c>
    </row>
    <row r="679" spans="1:2">
      <c r="A679" s="75" t="s">
        <v>34</v>
      </c>
      <c r="B679" s="138" t="s">
        <v>149</v>
      </c>
    </row>
    <row r="680" spans="1:2">
      <c r="A680" s="75" t="s">
        <v>35</v>
      </c>
      <c r="B680" s="138" t="s">
        <v>144</v>
      </c>
    </row>
    <row r="681" spans="1:2">
      <c r="A681" s="75" t="s">
        <v>109</v>
      </c>
      <c r="B681" s="138" t="s">
        <v>148</v>
      </c>
    </row>
    <row r="682" spans="1:2">
      <c r="A682" s="75" t="s">
        <v>36</v>
      </c>
      <c r="B682" s="138" t="s">
        <v>149</v>
      </c>
    </row>
    <row r="683" spans="1:2">
      <c r="A683" s="75" t="s">
        <v>37</v>
      </c>
      <c r="B683" s="138" t="s">
        <v>144</v>
      </c>
    </row>
    <row r="684" spans="1:2">
      <c r="A684" s="75" t="s">
        <v>38</v>
      </c>
      <c r="B684" s="138" t="s">
        <v>155</v>
      </c>
    </row>
    <row r="685" spans="1:2">
      <c r="A685" s="75" t="s">
        <v>39</v>
      </c>
      <c r="B685" s="138" t="s">
        <v>148</v>
      </c>
    </row>
    <row r="686" spans="1:2">
      <c r="A686" s="75" t="s">
        <v>41</v>
      </c>
      <c r="B686" s="138" t="s">
        <v>149</v>
      </c>
    </row>
    <row r="687" spans="1:2">
      <c r="A687" s="75" t="s">
        <v>42</v>
      </c>
      <c r="B687" s="138" t="s">
        <v>154</v>
      </c>
    </row>
    <row r="688" spans="1:2">
      <c r="A688" s="75" t="s">
        <v>43</v>
      </c>
      <c r="B688" s="138" t="s">
        <v>148</v>
      </c>
    </row>
    <row r="689" spans="1:2">
      <c r="A689" s="75" t="s">
        <v>156</v>
      </c>
      <c r="B689" s="138" t="s">
        <v>154</v>
      </c>
    </row>
    <row r="690" spans="1:2">
      <c r="A690" s="75" t="s">
        <v>44</v>
      </c>
      <c r="B690" s="138" t="s">
        <v>144</v>
      </c>
    </row>
    <row r="691" spans="1:2">
      <c r="A691" s="75" t="s">
        <v>112</v>
      </c>
      <c r="B691" s="138" t="s">
        <v>151</v>
      </c>
    </row>
    <row r="692" spans="1:2">
      <c r="A692" s="75" t="s">
        <v>45</v>
      </c>
      <c r="B692" s="138" t="s">
        <v>149</v>
      </c>
    </row>
    <row r="693" spans="1:2">
      <c r="A693" s="75" t="s">
        <v>46</v>
      </c>
      <c r="B693" s="138" t="s">
        <v>145</v>
      </c>
    </row>
    <row r="694" spans="1:2">
      <c r="A694" s="75" t="s">
        <v>113</v>
      </c>
      <c r="B694" s="138" t="s">
        <v>151</v>
      </c>
    </row>
    <row r="695" spans="1:2">
      <c r="A695" s="75" t="s">
        <v>47</v>
      </c>
      <c r="B695" s="138" t="s">
        <v>144</v>
      </c>
    </row>
    <row r="696" spans="1:2">
      <c r="A696" s="75" t="s">
        <v>48</v>
      </c>
      <c r="B696" s="138" t="s">
        <v>145</v>
      </c>
    </row>
    <row r="697" spans="1:2">
      <c r="A697" s="75" t="s">
        <v>49</v>
      </c>
      <c r="B697" s="138" t="s">
        <v>149</v>
      </c>
    </row>
    <row r="698" spans="1:2">
      <c r="A698" s="75" t="s">
        <v>50</v>
      </c>
      <c r="B698" s="138" t="s">
        <v>149</v>
      </c>
    </row>
    <row r="699" spans="1:2">
      <c r="A699" s="75" t="s">
        <v>51</v>
      </c>
      <c r="B699" s="138" t="s">
        <v>151</v>
      </c>
    </row>
    <row r="700" spans="1:2">
      <c r="A700" s="75" t="s">
        <v>52</v>
      </c>
      <c r="B700" s="138" t="s">
        <v>149</v>
      </c>
    </row>
    <row r="701" spans="1:2">
      <c r="A701" s="75" t="s">
        <v>53</v>
      </c>
      <c r="B701" s="138" t="s">
        <v>148</v>
      </c>
    </row>
    <row r="702" spans="1:2">
      <c r="A702" s="75" t="s">
        <v>54</v>
      </c>
      <c r="B702" s="138" t="s">
        <v>149</v>
      </c>
    </row>
    <row r="703" spans="1:2">
      <c r="A703" s="75" t="s">
        <v>55</v>
      </c>
      <c r="B703" s="138" t="s">
        <v>145</v>
      </c>
    </row>
    <row r="805" spans="6:10">
      <c r="F805" s="125"/>
      <c r="G805" s="125"/>
      <c r="H805" s="125"/>
      <c r="I805" s="125"/>
      <c r="J805" s="126"/>
    </row>
    <row r="806" spans="6:10">
      <c r="F806" s="125"/>
      <c r="G806" s="125"/>
      <c r="H806" s="125"/>
      <c r="I806" s="125"/>
      <c r="J806" s="126"/>
    </row>
  </sheetData>
  <mergeCells count="22">
    <mergeCell ref="B652:C652"/>
    <mergeCell ref="B653:C653"/>
    <mergeCell ref="B647:C647"/>
    <mergeCell ref="B648:C648"/>
    <mergeCell ref="B649:C649"/>
    <mergeCell ref="B650:C650"/>
    <mergeCell ref="B651:C651"/>
    <mergeCell ref="A624:D625"/>
    <mergeCell ref="A630:D631"/>
    <mergeCell ref="B634:C634"/>
    <mergeCell ref="B635:C635"/>
    <mergeCell ref="B636:C636"/>
    <mergeCell ref="B646:C646"/>
    <mergeCell ref="B637:C637"/>
    <mergeCell ref="B638:C638"/>
    <mergeCell ref="B639:C639"/>
    <mergeCell ref="B640:C640"/>
    <mergeCell ref="B641:C641"/>
    <mergeCell ref="B643:C643"/>
    <mergeCell ref="B644:C644"/>
    <mergeCell ref="B645:C645"/>
    <mergeCell ref="B642:C642"/>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5606-955E-4327-BE0A-04F3AA78EEBE}">
  <sheetPr>
    <tabColor rgb="FF0070C0"/>
  </sheetPr>
  <dimension ref="A2:AR101"/>
  <sheetViews>
    <sheetView topLeftCell="T1" zoomScale="85" zoomScaleNormal="85" workbookViewId="0">
      <selection activeCell="T1" sqref="T1"/>
    </sheetView>
  </sheetViews>
  <sheetFormatPr defaultColWidth="9.140625" defaultRowHeight="14.25"/>
  <cols>
    <col min="1" max="2" width="9.140625" style="3" hidden="1" customWidth="1"/>
    <col min="3" max="3" width="34" style="3" hidden="1" customWidth="1"/>
    <col min="4" max="4" width="10.5703125" style="3" hidden="1" customWidth="1"/>
    <col min="5" max="5" width="12.85546875" style="3" hidden="1" customWidth="1"/>
    <col min="6" max="6" width="13.5703125" style="3" hidden="1" customWidth="1"/>
    <col min="7" max="7" width="7.7109375" style="3" hidden="1" customWidth="1"/>
    <col min="8" max="8" width="6.7109375" style="3" hidden="1" customWidth="1"/>
    <col min="9" max="9" width="7.7109375" style="3" hidden="1" customWidth="1"/>
    <col min="10" max="11" width="9.42578125" style="3" hidden="1" customWidth="1"/>
    <col min="12" max="12" width="7.7109375" style="3" hidden="1" customWidth="1"/>
    <col min="13" max="13" width="8.42578125" style="3" hidden="1" customWidth="1"/>
    <col min="14" max="14" width="11.7109375" style="3" hidden="1" customWidth="1"/>
    <col min="15" max="15" width="10.5703125" style="3" hidden="1" customWidth="1"/>
    <col min="16" max="17" width="13.28515625" style="3" hidden="1" customWidth="1"/>
    <col min="18" max="18" width="10.5703125" style="3" hidden="1" customWidth="1"/>
    <col min="19" max="19" width="9.140625" style="3" hidden="1" customWidth="1"/>
    <col min="20" max="20" width="9.140625" style="3" customWidth="1"/>
    <col min="21" max="21" width="34" style="3" bestFit="1" customWidth="1"/>
    <col min="22" max="22" width="10.5703125" style="3" bestFit="1" customWidth="1"/>
    <col min="23" max="23" width="12.85546875" style="3" bestFit="1" customWidth="1"/>
    <col min="24" max="24" width="13.5703125" style="3" customWidth="1"/>
    <col min="25" max="27" width="8.5703125" style="3" hidden="1" customWidth="1"/>
    <col min="28" max="28" width="9.42578125" style="3" bestFit="1" customWidth="1"/>
    <col min="29" max="29" width="9" style="3" customWidth="1"/>
    <col min="30" max="30" width="7.7109375" style="3" bestFit="1" customWidth="1"/>
    <col min="31" max="31" width="8.42578125" style="3" bestFit="1" customWidth="1"/>
    <col min="32" max="32" width="11.7109375" style="3" bestFit="1" customWidth="1"/>
    <col min="33" max="33" width="10.5703125" style="3" bestFit="1" customWidth="1"/>
    <col min="34" max="35" width="13.28515625" style="3" bestFit="1" customWidth="1"/>
    <col min="36" max="36" width="10.5703125" style="3" bestFit="1" customWidth="1"/>
    <col min="37" max="37" width="9.140625" style="3"/>
    <col min="38" max="38" width="34" style="3" bestFit="1" customWidth="1"/>
    <col min="39" max="39" width="10.42578125" style="3" bestFit="1" customWidth="1"/>
    <col min="40" max="41" width="9.140625" style="3"/>
    <col min="42" max="42" width="34" style="3" bestFit="1" customWidth="1"/>
    <col min="43" max="43" width="13.7109375" style="3" bestFit="1" customWidth="1"/>
    <col min="44" max="16384" width="9.140625" style="3"/>
  </cols>
  <sheetData>
    <row r="2" spans="1:44" ht="15" customHeight="1">
      <c r="C2" s="146" t="s">
        <v>157</v>
      </c>
      <c r="D2" s="145" t="s">
        <v>158</v>
      </c>
      <c r="E2" s="145"/>
      <c r="F2" s="145"/>
      <c r="G2" s="145"/>
      <c r="H2" s="145"/>
      <c r="I2" s="145"/>
      <c r="J2" s="145" t="s">
        <v>159</v>
      </c>
      <c r="K2" s="145"/>
      <c r="L2" s="145" t="s">
        <v>160</v>
      </c>
      <c r="M2" s="145"/>
      <c r="N2" s="145"/>
      <c r="O2" s="147" t="s">
        <v>161</v>
      </c>
      <c r="P2" s="145" t="s">
        <v>162</v>
      </c>
      <c r="Q2" s="145"/>
      <c r="R2" s="150" t="s">
        <v>4</v>
      </c>
      <c r="U2" s="146" t="s">
        <v>157</v>
      </c>
      <c r="V2" s="145" t="s">
        <v>158</v>
      </c>
      <c r="W2" s="145"/>
      <c r="X2" s="145"/>
      <c r="Y2" s="145"/>
      <c r="Z2" s="145"/>
      <c r="AA2" s="145"/>
      <c r="AB2" s="151" t="s">
        <v>163</v>
      </c>
      <c r="AC2" s="151" t="s">
        <v>159</v>
      </c>
      <c r="AD2" s="145" t="s">
        <v>160</v>
      </c>
      <c r="AE2" s="145"/>
      <c r="AF2" s="145"/>
      <c r="AG2" s="147" t="s">
        <v>164</v>
      </c>
      <c r="AH2" s="145" t="s">
        <v>162</v>
      </c>
      <c r="AI2" s="145"/>
      <c r="AJ2" s="150" t="s">
        <v>4</v>
      </c>
    </row>
    <row r="3" spans="1:44" ht="14.25" customHeight="1">
      <c r="C3" s="146"/>
      <c r="D3" s="145"/>
      <c r="E3" s="145"/>
      <c r="F3" s="145"/>
      <c r="G3" s="145"/>
      <c r="H3" s="145"/>
      <c r="I3" s="145"/>
      <c r="J3" s="145"/>
      <c r="K3" s="145"/>
      <c r="L3" s="145"/>
      <c r="M3" s="145"/>
      <c r="N3" s="145"/>
      <c r="O3" s="148"/>
      <c r="P3" s="145"/>
      <c r="Q3" s="145"/>
      <c r="R3" s="150"/>
      <c r="U3" s="146"/>
      <c r="V3" s="145"/>
      <c r="W3" s="145"/>
      <c r="X3" s="145"/>
      <c r="Y3" s="145"/>
      <c r="Z3" s="145"/>
      <c r="AA3" s="145"/>
      <c r="AB3" s="152"/>
      <c r="AC3" s="152"/>
      <c r="AD3" s="145"/>
      <c r="AE3" s="145"/>
      <c r="AF3" s="145"/>
      <c r="AG3" s="148"/>
      <c r="AH3" s="145"/>
      <c r="AI3" s="145"/>
      <c r="AJ3" s="150"/>
    </row>
    <row r="4" spans="1:44" ht="30">
      <c r="C4" s="146"/>
      <c r="D4" s="4" t="s">
        <v>8</v>
      </c>
      <c r="E4" s="4" t="s">
        <v>16</v>
      </c>
      <c r="F4" s="4" t="s">
        <v>27</v>
      </c>
      <c r="G4" s="4" t="s">
        <v>165</v>
      </c>
      <c r="H4" s="4" t="s">
        <v>166</v>
      </c>
      <c r="I4" s="4" t="s">
        <v>167</v>
      </c>
      <c r="J4" s="5" t="s">
        <v>8</v>
      </c>
      <c r="K4" s="5" t="s">
        <v>6</v>
      </c>
      <c r="L4" s="5" t="s">
        <v>168</v>
      </c>
      <c r="M4" s="5" t="s">
        <v>6</v>
      </c>
      <c r="N4" s="5" t="s">
        <v>169</v>
      </c>
      <c r="O4" s="149"/>
      <c r="P4" s="5" t="s">
        <v>170</v>
      </c>
      <c r="Q4" s="5" t="s">
        <v>171</v>
      </c>
      <c r="R4" s="150"/>
      <c r="U4" s="146"/>
      <c r="V4" s="4" t="s">
        <v>172</v>
      </c>
      <c r="W4" s="4" t="s">
        <v>16</v>
      </c>
      <c r="X4" s="4" t="s">
        <v>27</v>
      </c>
      <c r="Y4" s="4" t="s">
        <v>165</v>
      </c>
      <c r="Z4" s="4" t="s">
        <v>166</v>
      </c>
      <c r="AA4" s="4" t="s">
        <v>167</v>
      </c>
      <c r="AB4" s="5" t="s">
        <v>8</v>
      </c>
      <c r="AC4" s="5" t="s">
        <v>6</v>
      </c>
      <c r="AD4" s="5" t="s">
        <v>168</v>
      </c>
      <c r="AE4" s="5" t="s">
        <v>6</v>
      </c>
      <c r="AF4" s="5" t="s">
        <v>169</v>
      </c>
      <c r="AG4" s="149"/>
      <c r="AH4" s="5" t="s">
        <v>170</v>
      </c>
      <c r="AI4" s="5" t="s">
        <v>171</v>
      </c>
      <c r="AJ4" s="150"/>
    </row>
    <row r="5" spans="1:44" ht="15">
      <c r="C5" s="6" t="s">
        <v>173</v>
      </c>
      <c r="D5" s="7" t="e">
        <f t="shared" ref="D5:N5" si="0">SUM(D6:D15)</f>
        <v>#REF!</v>
      </c>
      <c r="E5" s="7" t="e">
        <f t="shared" si="0"/>
        <v>#REF!</v>
      </c>
      <c r="F5" s="7" t="e">
        <f t="shared" si="0"/>
        <v>#REF!</v>
      </c>
      <c r="G5" s="7" t="e">
        <f t="shared" si="0"/>
        <v>#REF!</v>
      </c>
      <c r="H5" s="7" t="e">
        <f t="shared" si="0"/>
        <v>#REF!</v>
      </c>
      <c r="I5" s="7" t="e">
        <f t="shared" si="0"/>
        <v>#REF!</v>
      </c>
      <c r="J5" s="7" t="e">
        <f t="shared" si="0"/>
        <v>#REF!</v>
      </c>
      <c r="K5" s="7" t="e">
        <f t="shared" si="0"/>
        <v>#REF!</v>
      </c>
      <c r="L5" s="7" t="e">
        <f t="shared" si="0"/>
        <v>#REF!</v>
      </c>
      <c r="M5" s="7" t="e">
        <f t="shared" si="0"/>
        <v>#REF!</v>
      </c>
      <c r="N5" s="7" t="e">
        <f t="shared" si="0"/>
        <v>#REF!</v>
      </c>
      <c r="O5" s="7" t="e">
        <f>SUM(D5:N5)</f>
        <v>#REF!</v>
      </c>
      <c r="P5" s="7" t="e">
        <f>SUM(P6:P15)</f>
        <v>#REF!</v>
      </c>
      <c r="Q5" s="7" t="e">
        <f>SUM(Q6:Q15)</f>
        <v>#REF!</v>
      </c>
      <c r="R5" s="7" t="e">
        <f>SUM(O5:Q5)</f>
        <v>#REF!</v>
      </c>
      <c r="U5" s="6" t="s">
        <v>173</v>
      </c>
      <c r="V5" s="7" t="e">
        <f t="shared" ref="V5:V53" si="1">D5</f>
        <v>#REF!</v>
      </c>
      <c r="W5" s="7" t="e">
        <f t="shared" ref="W5:W53" si="2">E5</f>
        <v>#REF!</v>
      </c>
      <c r="X5" s="7" t="e">
        <f t="shared" ref="X5:Y53" si="3">F5</f>
        <v>#REF!</v>
      </c>
      <c r="Y5" s="7" t="e">
        <f t="shared" si="3"/>
        <v>#REF!</v>
      </c>
      <c r="Z5" s="7" t="e">
        <f t="shared" ref="Z5:Z53" si="4">H5</f>
        <v>#REF!</v>
      </c>
      <c r="AA5" s="7" t="e">
        <f t="shared" ref="AA5:AJ5" si="5">I5</f>
        <v>#REF!</v>
      </c>
      <c r="AB5" s="7" t="e">
        <f t="shared" si="5"/>
        <v>#REF!</v>
      </c>
      <c r="AC5" s="7" t="e">
        <f t="shared" si="5"/>
        <v>#REF!</v>
      </c>
      <c r="AD5" s="7" t="e">
        <f t="shared" si="5"/>
        <v>#REF!</v>
      </c>
      <c r="AE5" s="7" t="e">
        <f t="shared" si="5"/>
        <v>#REF!</v>
      </c>
      <c r="AF5" s="7" t="e">
        <f t="shared" si="5"/>
        <v>#REF!</v>
      </c>
      <c r="AG5" s="7" t="e">
        <f t="shared" si="5"/>
        <v>#REF!</v>
      </c>
      <c r="AH5" s="7" t="e">
        <f t="shared" si="5"/>
        <v>#REF!</v>
      </c>
      <c r="AI5" s="7" t="e">
        <f t="shared" si="5"/>
        <v>#REF!</v>
      </c>
      <c r="AJ5" s="7" t="e">
        <f t="shared" si="5"/>
        <v>#REF!</v>
      </c>
      <c r="AK5" s="18"/>
      <c r="AL5" s="3" t="s">
        <v>174</v>
      </c>
      <c r="AM5" s="3" t="s">
        <v>175</v>
      </c>
      <c r="AN5" s="8" t="s">
        <v>176</v>
      </c>
      <c r="AP5" s="3" t="s">
        <v>177</v>
      </c>
      <c r="AQ5" s="3" t="s">
        <v>175</v>
      </c>
      <c r="AR5" s="8" t="s">
        <v>176</v>
      </c>
    </row>
    <row r="6" spans="1:44">
      <c r="A6" s="3" t="s">
        <v>178</v>
      </c>
      <c r="C6" s="9" t="s">
        <v>5</v>
      </c>
      <c r="D6" s="10" t="e">
        <f>SUMIFS(#REF!,#REF!,"2020",#REF!,'App. 1 (App)'!$A6,#REF!,"Loan",#REF!,"OCR")</f>
        <v>#REF!</v>
      </c>
      <c r="E6" s="10" t="e">
        <f>SUMIFS(#REF!,#REF!,"2020",#REF!,'App. 1 (App)'!$A6,#REF!,"Guarantee",#REF!,"OCR")</f>
        <v>#REF!</v>
      </c>
      <c r="F6" s="10" t="e">
        <f>SUMIFS(#REF!,#REF!,"2020",#REF!,'App. 1 (App)'!$A6,#REF!,"Equity",#REF!,"OCR")</f>
        <v>#REF!</v>
      </c>
      <c r="G6" s="10" t="e">
        <f>SUMIFS(#REF!,#REF!,"2020",#REF!,'App. 1 (App)'!$A6,#REF!,"MFP",#REF!,"OCR")</f>
        <v>#REF!</v>
      </c>
      <c r="H6" s="10" t="e">
        <f>SUMIFS(#REF!,#REF!,"2020",#REF!,'App. 1 (App)'!$A6,#REF!,"SCFP",#REF!,"OCR")</f>
        <v>#REF!</v>
      </c>
      <c r="I6" s="10" t="e">
        <f>SUMIFS(#REF!,#REF!,"2020",#REF!,'App. 1 (App)'!$A6,#REF!,"TFP",#REF!,"OCR")</f>
        <v>#REF!</v>
      </c>
      <c r="J6" s="10" t="e">
        <f>SUMIFS(#REF!,#REF!,"2020",#REF!,'App. 1 (App)'!$A6,#REF!,"Loan",#REF!,"ADF")+SUMIFS(#REF!,#REF!,"2020",#REF!,'App. 1 (App)'!$A6,#REF!,"Loan",#REF!,"COL")</f>
        <v>#REF!</v>
      </c>
      <c r="K6" s="10" t="e">
        <f>SUMIFS(#REF!,#REF!,"2020",#REF!,'App. 1 (App)'!$A6,#REF!,"Grant",#REF!,"ADF")</f>
        <v>#REF!</v>
      </c>
      <c r="L6" s="10" t="e">
        <f>SUMIFS(#REF!,#REF!,"2020",#REF!,'App. 1 (App)'!$A6,#REF!,"TA",#REF!,"ADB")</f>
        <v>#REF!</v>
      </c>
      <c r="M6" s="10" t="e">
        <f>SUMIFS(#REF!,#REF!,"2020",#REF!,'App. 1 (App)'!$A6,#REF!,"Grant",#REF!,"Special Fund")</f>
        <v>#REF!</v>
      </c>
      <c r="N6" s="10" t="e">
        <f>SUMIFS(#REF!,#REF!,"2020",#REF!,'App. 1 (App)'!$A6,#REF!,"TA",#REF!,"Special Fund")</f>
        <v>#REF!</v>
      </c>
      <c r="O6" s="11" t="e">
        <f t="shared" ref="O6:O53" si="6">SUM(D6:N6)</f>
        <v>#REF!</v>
      </c>
      <c r="P6" s="10" t="e">
        <f>SUMIFS(#REF!,#REF!,"2020",#REF!,'App. 1 (App)'!$A6,#REF!,"Official")-Q6+SUMIFS(#REF!,#REF!,"2020",#REF!,'App. 1 (App)'!$A6,#REF!,"Commercial")+SUMIFS(#REF!,#REF!,"2020",#REF!,'App. 1 (App)'!$A6,#REF!,"Other Concessional")</f>
        <v>#REF!</v>
      </c>
      <c r="Q6" s="10" t="e">
        <f>SUMIFS(#REF!,#REF!,"2020",#REF!,'App. 1 (App)'!$A6,#REF!,"TA Cofinancing",#REF!,"Official")+SUMIFS(#REF!,#REF!,"2020",#REF!,'App. 1 (App)'!$A6,#REF!,"TA Cofinancing",#REF!,"Other Concessional")</f>
        <v>#REF!</v>
      </c>
      <c r="R6" s="11" t="e">
        <f t="shared" ref="R6:R52" si="7">SUM(O6:Q6)</f>
        <v>#REF!</v>
      </c>
      <c r="U6" s="9" t="s">
        <v>5</v>
      </c>
      <c r="V6" s="10" t="e">
        <f t="shared" si="1"/>
        <v>#REF!</v>
      </c>
      <c r="W6" s="10" t="e">
        <f t="shared" si="2"/>
        <v>#REF!</v>
      </c>
      <c r="X6" s="10" t="e">
        <f t="shared" si="3"/>
        <v>#REF!</v>
      </c>
      <c r="Y6" s="10" t="e">
        <f t="shared" si="3"/>
        <v>#REF!</v>
      </c>
      <c r="Z6" s="10" t="e">
        <f t="shared" si="4"/>
        <v>#REF!</v>
      </c>
      <c r="AA6" s="10" t="e">
        <f t="shared" ref="AA6:AA53" si="8">I6</f>
        <v>#REF!</v>
      </c>
      <c r="AB6" s="10" t="e">
        <f t="shared" ref="AB6:AB27" si="9">J6</f>
        <v>#REF!</v>
      </c>
      <c r="AC6" s="10" t="e">
        <f t="shared" ref="AC6:AC27" si="10">K6</f>
        <v>#REF!</v>
      </c>
      <c r="AD6" s="10" t="e">
        <f t="shared" ref="AD6:AD27" si="11">L6</f>
        <v>#REF!</v>
      </c>
      <c r="AE6" s="10" t="e">
        <f t="shared" ref="AE6:AE27" si="12">M6</f>
        <v>#REF!</v>
      </c>
      <c r="AF6" s="10" t="e">
        <f t="shared" ref="AF6:AF27" si="13">N6</f>
        <v>#REF!</v>
      </c>
      <c r="AG6" s="11" t="e">
        <f t="shared" ref="AG6:AG27" si="14">O6</f>
        <v>#REF!</v>
      </c>
      <c r="AH6" s="10" t="e">
        <f t="shared" ref="AH6:AH27" si="15">P6</f>
        <v>#REF!</v>
      </c>
      <c r="AI6" s="10" t="e">
        <f t="shared" ref="AI6:AI27" si="16">Q6</f>
        <v>#REF!</v>
      </c>
      <c r="AJ6" s="11" t="e">
        <f t="shared" ref="AJ6:AJ27" si="17">R6</f>
        <v>#REF!</v>
      </c>
      <c r="AL6" s="12" t="s">
        <v>25</v>
      </c>
      <c r="AM6" s="13" t="e">
        <f t="shared" ref="AM6:AM47" si="18">VLOOKUP(AL6,$U$6:$AJ$53,16,FALSE)</f>
        <v>#REF!</v>
      </c>
      <c r="AN6" s="8" t="e">
        <f>AM6/1000</f>
        <v>#REF!</v>
      </c>
      <c r="AP6" s="12" t="s">
        <v>25</v>
      </c>
      <c r="AQ6" s="14" t="e">
        <f>VLOOKUP(AP6,$U$6:$AJ$53,13,FALSE)</f>
        <v>#REF!</v>
      </c>
      <c r="AR6" s="8" t="e">
        <f>AQ6/1000</f>
        <v>#REF!</v>
      </c>
    </row>
    <row r="7" spans="1:44">
      <c r="A7" s="3" t="s">
        <v>179</v>
      </c>
      <c r="C7" s="9" t="s">
        <v>7</v>
      </c>
      <c r="D7" s="10" t="e">
        <f>SUMIFS(#REF!,#REF!,"2020",#REF!,'App. 1 (App)'!$A7,#REF!,"Loan",#REF!,"OCR")</f>
        <v>#REF!</v>
      </c>
      <c r="E7" s="10" t="e">
        <f>SUMIFS(#REF!,#REF!,"2020",#REF!,'App. 1 (App)'!$A7,#REF!,"Guarantee",#REF!,"OCR")</f>
        <v>#REF!</v>
      </c>
      <c r="F7" s="10" t="e">
        <f>SUMIFS(#REF!,#REF!,"2020",#REF!,'App. 1 (App)'!$A7,#REF!,"Equity",#REF!,"OCR")</f>
        <v>#REF!</v>
      </c>
      <c r="G7" s="10" t="e">
        <f>SUMIFS(#REF!,#REF!,"2020",#REF!,'App. 1 (App)'!$A7,#REF!,"MFP",#REF!,"OCR")</f>
        <v>#REF!</v>
      </c>
      <c r="H7" s="10" t="e">
        <f>SUMIFS(#REF!,#REF!,"2020",#REF!,'App. 1 (App)'!$A7,#REF!,"SCFP",#REF!,"OCR")</f>
        <v>#REF!</v>
      </c>
      <c r="I7" s="10" t="e">
        <f>SUMIFS(#REF!,#REF!,"2020",#REF!,'App. 1 (App)'!$A7,#REF!,"TFP",#REF!,"OCR")</f>
        <v>#REF!</v>
      </c>
      <c r="J7" s="10" t="e">
        <f>SUMIFS(#REF!,#REF!,"2020",#REF!,'App. 1 (App)'!$A7,#REF!,"Loan",#REF!,"ADF")+SUMIFS(#REF!,#REF!,"2020",#REF!,'App. 1 (App)'!$A7,#REF!,"Loan",#REF!,"COL")</f>
        <v>#REF!</v>
      </c>
      <c r="K7" s="10" t="e">
        <f>SUMIFS(#REF!,#REF!,"2020",#REF!,'App. 1 (App)'!$A7,#REF!,"Grant",#REF!,"ADF")</f>
        <v>#REF!</v>
      </c>
      <c r="L7" s="10" t="e">
        <f>SUMIFS(#REF!,#REF!,"2020",#REF!,'App. 1 (App)'!$A7,#REF!,"TA",#REF!,"ADB")</f>
        <v>#REF!</v>
      </c>
      <c r="M7" s="10" t="e">
        <f>SUMIFS(#REF!,#REF!,"2020",#REF!,'App. 1 (App)'!$A7,#REF!,"Grant",#REF!,"Special Fund")</f>
        <v>#REF!</v>
      </c>
      <c r="N7" s="10" t="e">
        <f>SUMIFS(#REF!,#REF!,"2020",#REF!,'App. 1 (App)'!$A7,#REF!,"TA",#REF!,"Special Fund")</f>
        <v>#REF!</v>
      </c>
      <c r="O7" s="11" t="e">
        <f t="shared" si="6"/>
        <v>#REF!</v>
      </c>
      <c r="P7" s="10" t="e">
        <f>SUMIFS(#REF!,#REF!,"2020",#REF!,'App. 1 (App)'!$A7,#REF!,"Official")-Q7+SUMIFS(#REF!,#REF!,"2020",#REF!,'App. 1 (App)'!$A7,#REF!,"Commercial")+SUMIFS(#REF!,#REF!,"2020",#REF!,'App. 1 (App)'!$A7,#REF!,"Other Concessional")</f>
        <v>#REF!</v>
      </c>
      <c r="Q7" s="10" t="e">
        <f>SUMIFS(#REF!,#REF!,"2020",#REF!,'App. 1 (App)'!$A7,#REF!,"TA Cofinancing",#REF!,"Official")+SUMIFS(#REF!,#REF!,"2020",#REF!,'App. 1 (App)'!$A7,#REF!,"TA Cofinancing",#REF!,"Other Concessional")</f>
        <v>#REF!</v>
      </c>
      <c r="R7" s="11" t="e">
        <f t="shared" si="7"/>
        <v>#REF!</v>
      </c>
      <c r="U7" s="9" t="s">
        <v>7</v>
      </c>
      <c r="V7" s="10" t="e">
        <f t="shared" si="1"/>
        <v>#REF!</v>
      </c>
      <c r="W7" s="10" t="e">
        <f t="shared" si="2"/>
        <v>#REF!</v>
      </c>
      <c r="X7" s="10" t="e">
        <f t="shared" si="3"/>
        <v>#REF!</v>
      </c>
      <c r="Y7" s="10" t="e">
        <f t="shared" si="3"/>
        <v>#REF!</v>
      </c>
      <c r="Z7" s="10" t="e">
        <f t="shared" si="4"/>
        <v>#REF!</v>
      </c>
      <c r="AA7" s="10" t="e">
        <f t="shared" si="8"/>
        <v>#REF!</v>
      </c>
      <c r="AB7" s="10" t="e">
        <f t="shared" si="9"/>
        <v>#REF!</v>
      </c>
      <c r="AC7" s="10" t="e">
        <f t="shared" si="10"/>
        <v>#REF!</v>
      </c>
      <c r="AD7" s="10" t="e">
        <f t="shared" si="11"/>
        <v>#REF!</v>
      </c>
      <c r="AE7" s="10" t="e">
        <f t="shared" si="12"/>
        <v>#REF!</v>
      </c>
      <c r="AF7" s="10" t="e">
        <f t="shared" si="13"/>
        <v>#REF!</v>
      </c>
      <c r="AG7" s="11" t="e">
        <f t="shared" si="14"/>
        <v>#REF!</v>
      </c>
      <c r="AH7" s="10" t="e">
        <f t="shared" si="15"/>
        <v>#REF!</v>
      </c>
      <c r="AI7" s="10" t="e">
        <f t="shared" si="16"/>
        <v>#REF!</v>
      </c>
      <c r="AJ7" s="11" t="e">
        <f t="shared" si="17"/>
        <v>#REF!</v>
      </c>
      <c r="AL7" s="12" t="s">
        <v>26</v>
      </c>
      <c r="AM7" s="13" t="e">
        <f t="shared" si="18"/>
        <v>#REF!</v>
      </c>
      <c r="AN7" s="8" t="e">
        <f>AM7/1000</f>
        <v>#REF!</v>
      </c>
      <c r="AP7" s="3" t="s">
        <v>43</v>
      </c>
      <c r="AQ7" s="14" t="e">
        <f t="shared" ref="AQ7:AQ47" si="19">VLOOKUP(AP7,$U$6:$AJ$53,13,FALSE)</f>
        <v>#REF!</v>
      </c>
      <c r="AR7" s="8" t="e">
        <f>AQ7/1000</f>
        <v>#REF!</v>
      </c>
    </row>
    <row r="8" spans="1:44">
      <c r="A8" s="3" t="s">
        <v>180</v>
      </c>
      <c r="C8" s="9" t="s">
        <v>11</v>
      </c>
      <c r="D8" s="10" t="e">
        <f>SUMIFS(#REF!,#REF!,"2020",#REF!,'App. 1 (App)'!$A8,#REF!,"Loan",#REF!,"OCR")</f>
        <v>#REF!</v>
      </c>
      <c r="E8" s="10" t="e">
        <f>SUMIFS(#REF!,#REF!,"2020",#REF!,'App. 1 (App)'!$A8,#REF!,"Guarantee",#REF!,"OCR")</f>
        <v>#REF!</v>
      </c>
      <c r="F8" s="10" t="e">
        <f>SUMIFS(#REF!,#REF!,"2020",#REF!,'App. 1 (App)'!$A8,#REF!,"Equity",#REF!,"OCR")</f>
        <v>#REF!</v>
      </c>
      <c r="G8" s="10" t="e">
        <f>SUMIFS(#REF!,#REF!,"2020",#REF!,'App. 1 (App)'!$A8,#REF!,"MFP",#REF!,"OCR")</f>
        <v>#REF!</v>
      </c>
      <c r="H8" s="10" t="e">
        <f>SUMIFS(#REF!,#REF!,"2020",#REF!,'App. 1 (App)'!$A8,#REF!,"SCFP",#REF!,"OCR")</f>
        <v>#REF!</v>
      </c>
      <c r="I8" s="10" t="e">
        <f>SUMIFS(#REF!,#REF!,"2020",#REF!,'App. 1 (App)'!$A8,#REF!,"TFP",#REF!,"OCR")</f>
        <v>#REF!</v>
      </c>
      <c r="J8" s="10" t="e">
        <f>SUMIFS(#REF!,#REF!,"2020",#REF!,'App. 1 (App)'!$A8,#REF!,"Loan",#REF!,"ADF")+SUMIFS(#REF!,#REF!,"2020",#REF!,'App. 1 (App)'!$A8,#REF!,"Loan",#REF!,"COL")</f>
        <v>#REF!</v>
      </c>
      <c r="K8" s="10" t="e">
        <f>SUMIFS(#REF!,#REF!,"2020",#REF!,'App. 1 (App)'!$A8,#REF!,"Grant",#REF!,"ADF")</f>
        <v>#REF!</v>
      </c>
      <c r="L8" s="10" t="e">
        <f>SUMIFS(#REF!,#REF!,"2020",#REF!,'App. 1 (App)'!$A8,#REF!,"TA",#REF!,"ADB")</f>
        <v>#REF!</v>
      </c>
      <c r="M8" s="10" t="e">
        <f>SUMIFS(#REF!,#REF!,"2020",#REF!,'App. 1 (App)'!$A8,#REF!,"Grant",#REF!,"Special Fund")</f>
        <v>#REF!</v>
      </c>
      <c r="N8" s="10" t="e">
        <f>SUMIFS(#REF!,#REF!,"2020",#REF!,'App. 1 (App)'!$A8,#REF!,"TA",#REF!,"Special Fund")</f>
        <v>#REF!</v>
      </c>
      <c r="O8" s="11" t="e">
        <f t="shared" si="6"/>
        <v>#REF!</v>
      </c>
      <c r="P8" s="10" t="e">
        <f>SUMIFS(#REF!,#REF!,"2020",#REF!,'App. 1 (App)'!$A8,#REF!,"Official")-Q8+SUMIFS(#REF!,#REF!,"2020",#REF!,'App. 1 (App)'!$A8,#REF!,"Commercial")+SUMIFS(#REF!,#REF!,"2020",#REF!,'App. 1 (App)'!$A8,#REF!,"Other Concessional")</f>
        <v>#REF!</v>
      </c>
      <c r="Q8" s="10" t="e">
        <f>SUMIFS(#REF!,#REF!,"2020",#REF!,'App. 1 (App)'!$A8,#REF!,"TA Cofinancing",#REF!,"Official")+SUMIFS(#REF!,#REF!,"2020",#REF!,'App. 1 (App)'!$A8,#REF!,"TA Cofinancing",#REF!,"Other Concessional")</f>
        <v>#REF!</v>
      </c>
      <c r="R8" s="11" t="e">
        <f t="shared" si="7"/>
        <v>#REF!</v>
      </c>
      <c r="U8" s="9" t="s">
        <v>11</v>
      </c>
      <c r="V8" s="10" t="e">
        <f t="shared" si="1"/>
        <v>#REF!</v>
      </c>
      <c r="W8" s="10" t="e">
        <f t="shared" si="2"/>
        <v>#REF!</v>
      </c>
      <c r="X8" s="10" t="e">
        <f t="shared" si="3"/>
        <v>#REF!</v>
      </c>
      <c r="Y8" s="10" t="e">
        <f t="shared" si="3"/>
        <v>#REF!</v>
      </c>
      <c r="Z8" s="10" t="e">
        <f t="shared" si="4"/>
        <v>#REF!</v>
      </c>
      <c r="AA8" s="10" t="e">
        <f t="shared" si="8"/>
        <v>#REF!</v>
      </c>
      <c r="AB8" s="10" t="e">
        <f t="shared" si="9"/>
        <v>#REF!</v>
      </c>
      <c r="AC8" s="10" t="e">
        <f t="shared" si="10"/>
        <v>#REF!</v>
      </c>
      <c r="AD8" s="10" t="e">
        <f t="shared" si="11"/>
        <v>#REF!</v>
      </c>
      <c r="AE8" s="10" t="e">
        <f t="shared" si="12"/>
        <v>#REF!</v>
      </c>
      <c r="AF8" s="10" t="e">
        <f t="shared" si="13"/>
        <v>#REF!</v>
      </c>
      <c r="AG8" s="11" t="e">
        <f t="shared" si="14"/>
        <v>#REF!</v>
      </c>
      <c r="AH8" s="10" t="e">
        <f t="shared" si="15"/>
        <v>#REF!</v>
      </c>
      <c r="AI8" s="10" t="e">
        <f t="shared" si="16"/>
        <v>#REF!</v>
      </c>
      <c r="AJ8" s="11" t="e">
        <f t="shared" si="17"/>
        <v>#REF!</v>
      </c>
      <c r="AL8" s="3" t="s">
        <v>43</v>
      </c>
      <c r="AM8" s="13" t="e">
        <f t="shared" si="18"/>
        <v>#REF!</v>
      </c>
      <c r="AN8" s="8" t="e">
        <f>AM8/1000</f>
        <v>#REF!</v>
      </c>
      <c r="AP8" s="12" t="s">
        <v>26</v>
      </c>
      <c r="AQ8" s="14" t="e">
        <f t="shared" si="19"/>
        <v>#REF!</v>
      </c>
      <c r="AR8" s="8" t="e">
        <f>AQ8/1000</f>
        <v>#REF!</v>
      </c>
    </row>
    <row r="9" spans="1:44">
      <c r="A9" s="3" t="s">
        <v>181</v>
      </c>
      <c r="C9" s="9" t="s">
        <v>23</v>
      </c>
      <c r="D9" s="10" t="e">
        <f>SUMIFS(#REF!,#REF!,"2020",#REF!,'App. 1 (App)'!$A9,#REF!,"Loan",#REF!,"OCR")</f>
        <v>#REF!</v>
      </c>
      <c r="E9" s="10" t="e">
        <f>SUMIFS(#REF!,#REF!,"2020",#REF!,'App. 1 (App)'!$A9,#REF!,"Guarantee",#REF!,"OCR")</f>
        <v>#REF!</v>
      </c>
      <c r="F9" s="10" t="e">
        <f>SUMIFS(#REF!,#REF!,"2020",#REF!,'App. 1 (App)'!$A9,#REF!,"Equity",#REF!,"OCR")</f>
        <v>#REF!</v>
      </c>
      <c r="G9" s="10" t="e">
        <f>SUMIFS(#REF!,#REF!,"2020",#REF!,'App. 1 (App)'!$A9,#REF!,"MFP",#REF!,"OCR")</f>
        <v>#REF!</v>
      </c>
      <c r="H9" s="10" t="e">
        <f>SUMIFS(#REF!,#REF!,"2020",#REF!,'App. 1 (App)'!$A9,#REF!,"SCFP",#REF!,"OCR")</f>
        <v>#REF!</v>
      </c>
      <c r="I9" s="10" t="e">
        <f>SUMIFS(#REF!,#REF!,"2020",#REF!,'App. 1 (App)'!$A9,#REF!,"TFP",#REF!,"OCR")</f>
        <v>#REF!</v>
      </c>
      <c r="J9" s="10" t="e">
        <f>SUMIFS(#REF!,#REF!,"2020",#REF!,'App. 1 (App)'!$A9,#REF!,"Loan",#REF!,"ADF")+SUMIFS(#REF!,#REF!,"2020",#REF!,'App. 1 (App)'!$A9,#REF!,"Loan",#REF!,"COL")</f>
        <v>#REF!</v>
      </c>
      <c r="K9" s="10" t="e">
        <f>SUMIFS(#REF!,#REF!,"2020",#REF!,'App. 1 (App)'!$A9,#REF!,"Grant",#REF!,"ADF")</f>
        <v>#REF!</v>
      </c>
      <c r="L9" s="10" t="e">
        <f>SUMIFS(#REF!,#REF!,"2020",#REF!,'App. 1 (App)'!$A9,#REF!,"TA",#REF!,"ADB")</f>
        <v>#REF!</v>
      </c>
      <c r="M9" s="10" t="e">
        <f>SUMIFS(#REF!,#REF!,"2020",#REF!,'App. 1 (App)'!$A9,#REF!,"Grant",#REF!,"Special Fund")</f>
        <v>#REF!</v>
      </c>
      <c r="N9" s="10" t="e">
        <f>SUMIFS(#REF!,#REF!,"2020",#REF!,'App. 1 (App)'!$A9,#REF!,"TA",#REF!,"Special Fund")</f>
        <v>#REF!</v>
      </c>
      <c r="O9" s="11" t="e">
        <f t="shared" si="6"/>
        <v>#REF!</v>
      </c>
      <c r="P9" s="10" t="e">
        <f>SUMIFS(#REF!,#REF!,"2020",#REF!,'App. 1 (App)'!$A9,#REF!,"Official")-Q9+SUMIFS(#REF!,#REF!,"2020",#REF!,'App. 1 (App)'!$A9,#REF!,"Commercial")+SUMIFS(#REF!,#REF!,"2020",#REF!,'App. 1 (App)'!$A9,#REF!,"Other Concessional")</f>
        <v>#REF!</v>
      </c>
      <c r="Q9" s="10" t="e">
        <f>SUMIFS(#REF!,#REF!,"2020",#REF!,'App. 1 (App)'!$A9,#REF!,"TA Cofinancing",#REF!,"Official")+SUMIFS(#REF!,#REF!,"2020",#REF!,'App. 1 (App)'!$A9,#REF!,"TA Cofinancing",#REF!,"Other Concessional")</f>
        <v>#REF!</v>
      </c>
      <c r="R9" s="11" t="e">
        <f t="shared" si="7"/>
        <v>#REF!</v>
      </c>
      <c r="U9" s="9" t="s">
        <v>23</v>
      </c>
      <c r="V9" s="10" t="e">
        <f t="shared" si="1"/>
        <v>#REF!</v>
      </c>
      <c r="W9" s="10" t="e">
        <f t="shared" si="2"/>
        <v>#REF!</v>
      </c>
      <c r="X9" s="10" t="e">
        <f t="shared" si="3"/>
        <v>#REF!</v>
      </c>
      <c r="Y9" s="10" t="e">
        <f t="shared" si="3"/>
        <v>#REF!</v>
      </c>
      <c r="Z9" s="10" t="e">
        <f t="shared" si="4"/>
        <v>#REF!</v>
      </c>
      <c r="AA9" s="10" t="e">
        <f t="shared" si="8"/>
        <v>#REF!</v>
      </c>
      <c r="AB9" s="10" t="e">
        <f t="shared" si="9"/>
        <v>#REF!</v>
      </c>
      <c r="AC9" s="10" t="e">
        <f t="shared" si="10"/>
        <v>#REF!</v>
      </c>
      <c r="AD9" s="10" t="e">
        <f t="shared" si="11"/>
        <v>#REF!</v>
      </c>
      <c r="AE9" s="10" t="e">
        <f t="shared" si="12"/>
        <v>#REF!</v>
      </c>
      <c r="AF9" s="10" t="e">
        <f t="shared" si="13"/>
        <v>#REF!</v>
      </c>
      <c r="AG9" s="11" t="e">
        <f t="shared" si="14"/>
        <v>#REF!</v>
      </c>
      <c r="AH9" s="10" t="e">
        <f t="shared" si="15"/>
        <v>#REF!</v>
      </c>
      <c r="AI9" s="10" t="e">
        <f t="shared" si="16"/>
        <v>#REF!</v>
      </c>
      <c r="AJ9" s="11" t="e">
        <f t="shared" si="17"/>
        <v>#REF!</v>
      </c>
      <c r="AL9" s="12" t="s">
        <v>39</v>
      </c>
      <c r="AM9" s="13" t="e">
        <f t="shared" si="18"/>
        <v>#REF!</v>
      </c>
      <c r="AN9" s="8" t="e">
        <f>AM9/1000</f>
        <v>#REF!</v>
      </c>
      <c r="AP9" s="12" t="s">
        <v>18</v>
      </c>
      <c r="AQ9" s="14" t="e">
        <f t="shared" si="19"/>
        <v>#REF!</v>
      </c>
      <c r="AR9" s="8" t="e">
        <f>AQ9/1000</f>
        <v>#REF!</v>
      </c>
    </row>
    <row r="10" spans="1:44">
      <c r="A10" s="3" t="s">
        <v>182</v>
      </c>
      <c r="C10" s="9" t="s">
        <v>28</v>
      </c>
      <c r="D10" s="10" t="e">
        <f>SUMIFS(#REF!,#REF!,"2020",#REF!,'App. 1 (App)'!$A10,#REF!,"Loan",#REF!,"OCR")</f>
        <v>#REF!</v>
      </c>
      <c r="E10" s="10" t="e">
        <f>SUMIFS(#REF!,#REF!,"2020",#REF!,'App. 1 (App)'!$A10,#REF!,"Guarantee",#REF!,"OCR")</f>
        <v>#REF!</v>
      </c>
      <c r="F10" s="10" t="e">
        <f>SUMIFS(#REF!,#REF!,"2020",#REF!,'App. 1 (App)'!$A10,#REF!,"Equity",#REF!,"OCR")</f>
        <v>#REF!</v>
      </c>
      <c r="G10" s="10" t="e">
        <f>SUMIFS(#REF!,#REF!,"2020",#REF!,'App. 1 (App)'!$A10,#REF!,"MFP",#REF!,"OCR")</f>
        <v>#REF!</v>
      </c>
      <c r="H10" s="10" t="e">
        <f>SUMIFS(#REF!,#REF!,"2020",#REF!,'App. 1 (App)'!$A10,#REF!,"SCFP",#REF!,"OCR")</f>
        <v>#REF!</v>
      </c>
      <c r="I10" s="10" t="e">
        <f>SUMIFS(#REF!,#REF!,"2020",#REF!,'App. 1 (App)'!$A10,#REF!,"TFP",#REF!,"OCR")</f>
        <v>#REF!</v>
      </c>
      <c r="J10" s="10" t="e">
        <f>SUMIFS(#REF!,#REF!,"2020",#REF!,'App. 1 (App)'!$A10,#REF!,"Loan",#REF!,"ADF")+SUMIFS(#REF!,#REF!,"2020",#REF!,'App. 1 (App)'!$A10,#REF!,"Loan",#REF!,"COL")</f>
        <v>#REF!</v>
      </c>
      <c r="K10" s="10" t="e">
        <f>SUMIFS(#REF!,#REF!,"2020",#REF!,'App. 1 (App)'!$A10,#REF!,"Grant",#REF!,"ADF")</f>
        <v>#REF!</v>
      </c>
      <c r="L10" s="10" t="e">
        <f>SUMIFS(#REF!,#REF!,"2020",#REF!,'App. 1 (App)'!$A10,#REF!,"TA",#REF!,"ADB")</f>
        <v>#REF!</v>
      </c>
      <c r="M10" s="10" t="e">
        <f>SUMIFS(#REF!,#REF!,"2020",#REF!,'App. 1 (App)'!$A10,#REF!,"Grant",#REF!,"Special Fund")</f>
        <v>#REF!</v>
      </c>
      <c r="N10" s="10" t="e">
        <f>SUMIFS(#REF!,#REF!,"2020",#REF!,'App. 1 (App)'!$A10,#REF!,"TA",#REF!,"Special Fund")</f>
        <v>#REF!</v>
      </c>
      <c r="O10" s="11" t="e">
        <f t="shared" si="6"/>
        <v>#REF!</v>
      </c>
      <c r="P10" s="10" t="e">
        <f>SUMIFS(#REF!,#REF!,"2020",#REF!,'App. 1 (App)'!$A10,#REF!,"Official")-Q10+SUMIFS(#REF!,#REF!,"2020",#REF!,'App. 1 (App)'!$A10,#REF!,"Commercial")+SUMIFS(#REF!,#REF!,"2020",#REF!,'App. 1 (App)'!$A10,#REF!,"Other Concessional")</f>
        <v>#REF!</v>
      </c>
      <c r="Q10" s="10" t="e">
        <f>SUMIFS(#REF!,#REF!,"2020",#REF!,'App. 1 (App)'!$A10,#REF!,"TA Cofinancing",#REF!,"Official")+SUMIFS(#REF!,#REF!,"2020",#REF!,'App. 1 (App)'!$A10,#REF!,"TA Cofinancing",#REF!,"Other Concessional")</f>
        <v>#REF!</v>
      </c>
      <c r="R10" s="11" t="e">
        <f t="shared" si="7"/>
        <v>#REF!</v>
      </c>
      <c r="U10" s="9" t="s">
        <v>28</v>
      </c>
      <c r="V10" s="10" t="e">
        <f t="shared" si="1"/>
        <v>#REF!</v>
      </c>
      <c r="W10" s="10" t="e">
        <f t="shared" si="2"/>
        <v>#REF!</v>
      </c>
      <c r="X10" s="10" t="e">
        <f t="shared" si="3"/>
        <v>#REF!</v>
      </c>
      <c r="Y10" s="10" t="e">
        <f t="shared" si="3"/>
        <v>#REF!</v>
      </c>
      <c r="Z10" s="10" t="e">
        <f t="shared" si="4"/>
        <v>#REF!</v>
      </c>
      <c r="AA10" s="10" t="e">
        <f t="shared" si="8"/>
        <v>#REF!</v>
      </c>
      <c r="AB10" s="10" t="e">
        <f t="shared" si="9"/>
        <v>#REF!</v>
      </c>
      <c r="AC10" s="10" t="e">
        <f t="shared" si="10"/>
        <v>#REF!</v>
      </c>
      <c r="AD10" s="10" t="e">
        <f t="shared" si="11"/>
        <v>#REF!</v>
      </c>
      <c r="AE10" s="10" t="e">
        <f t="shared" si="12"/>
        <v>#REF!</v>
      </c>
      <c r="AF10" s="10" t="e">
        <f t="shared" si="13"/>
        <v>#REF!</v>
      </c>
      <c r="AG10" s="11" t="e">
        <f t="shared" si="14"/>
        <v>#REF!</v>
      </c>
      <c r="AH10" s="10" t="e">
        <f t="shared" si="15"/>
        <v>#REF!</v>
      </c>
      <c r="AI10" s="10" t="e">
        <f t="shared" si="16"/>
        <v>#REF!</v>
      </c>
      <c r="AJ10" s="11" t="e">
        <f t="shared" si="17"/>
        <v>#REF!</v>
      </c>
      <c r="AL10" s="12" t="s">
        <v>12</v>
      </c>
      <c r="AM10" s="13" t="e">
        <f t="shared" si="18"/>
        <v>#REF!</v>
      </c>
      <c r="AN10" s="8" t="e">
        <f>AM10/1000</f>
        <v>#REF!</v>
      </c>
      <c r="AP10" s="3" t="s">
        <v>48</v>
      </c>
      <c r="AQ10" s="14" t="e">
        <f t="shared" si="19"/>
        <v>#REF!</v>
      </c>
      <c r="AR10" s="8" t="e">
        <f>AQ10/1000</f>
        <v>#REF!</v>
      </c>
    </row>
    <row r="11" spans="1:44">
      <c r="A11" s="3" t="s">
        <v>183</v>
      </c>
      <c r="C11" s="9" t="s">
        <v>30</v>
      </c>
      <c r="D11" s="10" t="e">
        <f>SUMIFS(#REF!,#REF!,"2020",#REF!,'App. 1 (App)'!$A11,#REF!,"Loan",#REF!,"OCR")</f>
        <v>#REF!</v>
      </c>
      <c r="E11" s="10" t="e">
        <f>SUMIFS(#REF!,#REF!,"2020",#REF!,'App. 1 (App)'!$A11,#REF!,"Guarantee",#REF!,"OCR")</f>
        <v>#REF!</v>
      </c>
      <c r="F11" s="10" t="e">
        <f>SUMIFS(#REF!,#REF!,"2020",#REF!,'App. 1 (App)'!$A11,#REF!,"Equity",#REF!,"OCR")</f>
        <v>#REF!</v>
      </c>
      <c r="G11" s="10" t="e">
        <f>SUMIFS(#REF!,#REF!,"2020",#REF!,'App. 1 (App)'!$A11,#REF!,"MFP",#REF!,"OCR")</f>
        <v>#REF!</v>
      </c>
      <c r="H11" s="10" t="e">
        <f>SUMIFS(#REF!,#REF!,"2020",#REF!,'App. 1 (App)'!$A11,#REF!,"SCFP",#REF!,"OCR")</f>
        <v>#REF!</v>
      </c>
      <c r="I11" s="10" t="e">
        <f>SUMIFS(#REF!,#REF!,"2020",#REF!,'App. 1 (App)'!$A11,#REF!,"TFP",#REF!,"OCR")</f>
        <v>#REF!</v>
      </c>
      <c r="J11" s="10" t="e">
        <f>SUMIFS(#REF!,#REF!,"2020",#REF!,'App. 1 (App)'!$A11,#REF!,"Loan",#REF!,"ADF")+SUMIFS(#REF!,#REF!,"2020",#REF!,'App. 1 (App)'!$A11,#REF!,"Loan",#REF!,"COL")</f>
        <v>#REF!</v>
      </c>
      <c r="K11" s="10" t="e">
        <f>SUMIFS(#REF!,#REF!,"2020",#REF!,'App. 1 (App)'!$A11,#REF!,"Grant",#REF!,"ADF")</f>
        <v>#REF!</v>
      </c>
      <c r="L11" s="10" t="e">
        <f>SUMIFS(#REF!,#REF!,"2020",#REF!,'App. 1 (App)'!$A11,#REF!,"TA",#REF!,"ADB")</f>
        <v>#REF!</v>
      </c>
      <c r="M11" s="10" t="e">
        <f>SUMIFS(#REF!,#REF!,"2020",#REF!,'App. 1 (App)'!$A11,#REF!,"Grant",#REF!,"Special Fund")</f>
        <v>#REF!</v>
      </c>
      <c r="N11" s="10" t="e">
        <f>SUMIFS(#REF!,#REF!,"2020",#REF!,'App. 1 (App)'!$A11,#REF!,"TA",#REF!,"Special Fund")</f>
        <v>#REF!</v>
      </c>
      <c r="O11" s="11" t="e">
        <f t="shared" si="6"/>
        <v>#REF!</v>
      </c>
      <c r="P11" s="10" t="e">
        <f>SUMIFS(#REF!,#REF!,"2020",#REF!,'App. 1 (App)'!$A11,#REF!,"Official")-Q11+SUMIFS(#REF!,#REF!,"2020",#REF!,'App. 1 (App)'!$A11,#REF!,"Commercial")+SUMIFS(#REF!,#REF!,"2020",#REF!,'App. 1 (App)'!$A11,#REF!,"Other Concessional")</f>
        <v>#REF!</v>
      </c>
      <c r="Q11" s="10" t="e">
        <f>SUMIFS(#REF!,#REF!,"2020",#REF!,'App. 1 (App)'!$A11,#REF!,"TA Cofinancing",#REF!,"Official")+SUMIFS(#REF!,#REF!,"2020",#REF!,'App. 1 (App)'!$A11,#REF!,"TA Cofinancing",#REF!,"Other Concessional")</f>
        <v>#REF!</v>
      </c>
      <c r="R11" s="11" t="e">
        <f t="shared" si="7"/>
        <v>#REF!</v>
      </c>
      <c r="U11" s="9" t="s">
        <v>30</v>
      </c>
      <c r="V11" s="10" t="e">
        <f t="shared" si="1"/>
        <v>#REF!</v>
      </c>
      <c r="W11" s="10" t="e">
        <f t="shared" si="2"/>
        <v>#REF!</v>
      </c>
      <c r="X11" s="10" t="e">
        <f t="shared" si="3"/>
        <v>#REF!</v>
      </c>
      <c r="Y11" s="10" t="e">
        <f t="shared" si="3"/>
        <v>#REF!</v>
      </c>
      <c r="Z11" s="10" t="e">
        <f t="shared" si="4"/>
        <v>#REF!</v>
      </c>
      <c r="AA11" s="10" t="e">
        <f t="shared" si="8"/>
        <v>#REF!</v>
      </c>
      <c r="AB11" s="10" t="e">
        <f t="shared" si="9"/>
        <v>#REF!</v>
      </c>
      <c r="AC11" s="10" t="e">
        <f t="shared" si="10"/>
        <v>#REF!</v>
      </c>
      <c r="AD11" s="10" t="e">
        <f t="shared" si="11"/>
        <v>#REF!</v>
      </c>
      <c r="AE11" s="10" t="e">
        <f t="shared" si="12"/>
        <v>#REF!</v>
      </c>
      <c r="AF11" s="10" t="e">
        <f t="shared" si="13"/>
        <v>#REF!</v>
      </c>
      <c r="AG11" s="11" t="e">
        <f t="shared" si="14"/>
        <v>#REF!</v>
      </c>
      <c r="AH11" s="10" t="e">
        <f t="shared" si="15"/>
        <v>#REF!</v>
      </c>
      <c r="AI11" s="10" t="e">
        <f t="shared" si="16"/>
        <v>#REF!</v>
      </c>
      <c r="AJ11" s="11" t="e">
        <f t="shared" si="17"/>
        <v>#REF!</v>
      </c>
      <c r="AL11" s="12" t="s">
        <v>18</v>
      </c>
      <c r="AM11" s="13" t="e">
        <f t="shared" si="18"/>
        <v>#REF!</v>
      </c>
      <c r="AP11" s="12" t="s">
        <v>39</v>
      </c>
      <c r="AQ11" s="14" t="e">
        <f t="shared" si="19"/>
        <v>#REF!</v>
      </c>
    </row>
    <row r="12" spans="1:44">
      <c r="A12" s="3" t="s">
        <v>184</v>
      </c>
      <c r="C12" s="9" t="s">
        <v>39</v>
      </c>
      <c r="D12" s="10" t="e">
        <f>SUMIFS(#REF!,#REF!,"2020",#REF!,'App. 1 (App)'!$A12,#REF!,"Loan",#REF!,"OCR")</f>
        <v>#REF!</v>
      </c>
      <c r="E12" s="10" t="e">
        <f>SUMIFS(#REF!,#REF!,"2020",#REF!,'App. 1 (App)'!$A12,#REF!,"Guarantee",#REF!,"OCR")</f>
        <v>#REF!</v>
      </c>
      <c r="F12" s="10" t="e">
        <f>SUMIFS(#REF!,#REF!,"2020",#REF!,'App. 1 (App)'!$A12,#REF!,"Equity",#REF!,"OCR")</f>
        <v>#REF!</v>
      </c>
      <c r="G12" s="10" t="e">
        <f>SUMIFS(#REF!,#REF!,"2020",#REF!,'App. 1 (App)'!$A12,#REF!,"MFP",#REF!,"OCR")</f>
        <v>#REF!</v>
      </c>
      <c r="H12" s="10" t="e">
        <f>SUMIFS(#REF!,#REF!,"2020",#REF!,'App. 1 (App)'!$A12,#REF!,"SCFP",#REF!,"OCR")</f>
        <v>#REF!</v>
      </c>
      <c r="I12" s="10" t="e">
        <f>SUMIFS(#REF!,#REF!,"2020",#REF!,'App. 1 (App)'!$A12,#REF!,"TFP",#REF!,"OCR")</f>
        <v>#REF!</v>
      </c>
      <c r="J12" s="10" t="e">
        <f>SUMIFS(#REF!,#REF!,"2020",#REF!,'App. 1 (App)'!$A12,#REF!,"Loan",#REF!,"ADF")+SUMIFS(#REF!,#REF!,"2020",#REF!,'App. 1 (App)'!$A12,#REF!,"Loan",#REF!,"COL")</f>
        <v>#REF!</v>
      </c>
      <c r="K12" s="10" t="e">
        <f>SUMIFS(#REF!,#REF!,"2020",#REF!,'App. 1 (App)'!$A12,#REF!,"Grant",#REF!,"ADF")</f>
        <v>#REF!</v>
      </c>
      <c r="L12" s="10" t="e">
        <f>SUMIFS(#REF!,#REF!,"2020",#REF!,'App. 1 (App)'!$A12,#REF!,"TA",#REF!,"ADB")</f>
        <v>#REF!</v>
      </c>
      <c r="M12" s="10" t="e">
        <f>SUMIFS(#REF!,#REF!,"2020",#REF!,'App. 1 (App)'!$A12,#REF!,"Grant",#REF!,"Special Fund")</f>
        <v>#REF!</v>
      </c>
      <c r="N12" s="10" t="e">
        <f>SUMIFS(#REF!,#REF!,"2020",#REF!,'App. 1 (App)'!$A12,#REF!,"TA",#REF!,"Special Fund")</f>
        <v>#REF!</v>
      </c>
      <c r="O12" s="11" t="e">
        <f t="shared" si="6"/>
        <v>#REF!</v>
      </c>
      <c r="P12" s="10" t="e">
        <f>SUMIFS(#REF!,#REF!,"2020",#REF!,'App. 1 (App)'!$A12,#REF!,"Official")-Q12+SUMIFS(#REF!,#REF!,"2020",#REF!,'App. 1 (App)'!$A12,#REF!,"Commercial")+SUMIFS(#REF!,#REF!,"2020",#REF!,'App. 1 (App)'!$A12,#REF!,"Other Concessional")</f>
        <v>#REF!</v>
      </c>
      <c r="Q12" s="10" t="e">
        <f>SUMIFS(#REF!,#REF!,"2020",#REF!,'App. 1 (App)'!$A12,#REF!,"TA Cofinancing",#REF!,"Official")+SUMIFS(#REF!,#REF!,"2020",#REF!,'App. 1 (App)'!$A12,#REF!,"TA Cofinancing",#REF!,"Other Concessional")</f>
        <v>#REF!</v>
      </c>
      <c r="R12" s="11" t="e">
        <f t="shared" si="7"/>
        <v>#REF!</v>
      </c>
      <c r="U12" s="9" t="s">
        <v>39</v>
      </c>
      <c r="V12" s="10" t="e">
        <f t="shared" si="1"/>
        <v>#REF!</v>
      </c>
      <c r="W12" s="10" t="e">
        <f t="shared" si="2"/>
        <v>#REF!</v>
      </c>
      <c r="X12" s="10" t="e">
        <f t="shared" si="3"/>
        <v>#REF!</v>
      </c>
      <c r="Y12" s="10" t="e">
        <f t="shared" si="3"/>
        <v>#REF!</v>
      </c>
      <c r="Z12" s="10" t="e">
        <f t="shared" si="4"/>
        <v>#REF!</v>
      </c>
      <c r="AA12" s="10" t="e">
        <f t="shared" si="8"/>
        <v>#REF!</v>
      </c>
      <c r="AB12" s="10" t="e">
        <f t="shared" si="9"/>
        <v>#REF!</v>
      </c>
      <c r="AC12" s="10" t="e">
        <f t="shared" si="10"/>
        <v>#REF!</v>
      </c>
      <c r="AD12" s="10" t="e">
        <f t="shared" si="11"/>
        <v>#REF!</v>
      </c>
      <c r="AE12" s="10" t="e">
        <f t="shared" si="12"/>
        <v>#REF!</v>
      </c>
      <c r="AF12" s="10" t="e">
        <f t="shared" si="13"/>
        <v>#REF!</v>
      </c>
      <c r="AG12" s="11" t="e">
        <f t="shared" si="14"/>
        <v>#REF!</v>
      </c>
      <c r="AH12" s="10" t="e">
        <f t="shared" si="15"/>
        <v>#REF!</v>
      </c>
      <c r="AI12" s="10" t="e">
        <f t="shared" si="16"/>
        <v>#REF!</v>
      </c>
      <c r="AJ12" s="11" t="e">
        <f t="shared" si="17"/>
        <v>#REF!</v>
      </c>
      <c r="AL12" s="3" t="s">
        <v>48</v>
      </c>
      <c r="AM12" s="13" t="e">
        <f t="shared" si="18"/>
        <v>#REF!</v>
      </c>
      <c r="AP12" s="12" t="s">
        <v>53</v>
      </c>
      <c r="AQ12" s="14" t="e">
        <f t="shared" si="19"/>
        <v>#REF!</v>
      </c>
    </row>
    <row r="13" spans="1:44">
      <c r="A13" s="3" t="s">
        <v>185</v>
      </c>
      <c r="C13" s="9" t="s">
        <v>47</v>
      </c>
      <c r="D13" s="10" t="e">
        <f>SUMIFS(#REF!,#REF!,"2020",#REF!,'App. 1 (App)'!$A13,#REF!,"Loan",#REF!,"OCR")</f>
        <v>#REF!</v>
      </c>
      <c r="E13" s="10" t="e">
        <f>SUMIFS(#REF!,#REF!,"2020",#REF!,'App. 1 (App)'!$A13,#REF!,"Guarantee",#REF!,"OCR")</f>
        <v>#REF!</v>
      </c>
      <c r="F13" s="10" t="e">
        <f>SUMIFS(#REF!,#REF!,"2020",#REF!,'App. 1 (App)'!$A13,#REF!,"Equity",#REF!,"OCR")</f>
        <v>#REF!</v>
      </c>
      <c r="G13" s="10" t="e">
        <f>SUMIFS(#REF!,#REF!,"2020",#REF!,'App. 1 (App)'!$A13,#REF!,"MFP",#REF!,"OCR")</f>
        <v>#REF!</v>
      </c>
      <c r="H13" s="10" t="e">
        <f>SUMIFS(#REF!,#REF!,"2020",#REF!,'App. 1 (App)'!$A13,#REF!,"SCFP",#REF!,"OCR")</f>
        <v>#REF!</v>
      </c>
      <c r="I13" s="10" t="e">
        <f>SUMIFS(#REF!,#REF!,"2020",#REF!,'App. 1 (App)'!$A13,#REF!,"TFP",#REF!,"OCR")</f>
        <v>#REF!</v>
      </c>
      <c r="J13" s="10" t="e">
        <f>SUMIFS(#REF!,#REF!,"2020",#REF!,'App. 1 (App)'!$A13,#REF!,"Loan",#REF!,"ADF")+SUMIFS(#REF!,#REF!,"2020",#REF!,'App. 1 (App)'!$A13,#REF!,"Loan",#REF!,"COL")</f>
        <v>#REF!</v>
      </c>
      <c r="K13" s="10" t="e">
        <f>SUMIFS(#REF!,#REF!,"2020",#REF!,'App. 1 (App)'!$A13,#REF!,"Grant",#REF!,"ADF")</f>
        <v>#REF!</v>
      </c>
      <c r="L13" s="10" t="e">
        <f>SUMIFS(#REF!,#REF!,"2020",#REF!,'App. 1 (App)'!$A13,#REF!,"TA",#REF!,"ADB")</f>
        <v>#REF!</v>
      </c>
      <c r="M13" s="10" t="e">
        <f>SUMIFS(#REF!,#REF!,"2020",#REF!,'App. 1 (App)'!$A13,#REF!,"Grant",#REF!,"Special Fund")</f>
        <v>#REF!</v>
      </c>
      <c r="N13" s="10" t="e">
        <f>SUMIFS(#REF!,#REF!,"2020",#REF!,'App. 1 (App)'!$A13,#REF!,"TA",#REF!,"Special Fund")</f>
        <v>#REF!</v>
      </c>
      <c r="O13" s="11" t="e">
        <f t="shared" si="6"/>
        <v>#REF!</v>
      </c>
      <c r="P13" s="10" t="e">
        <f>SUMIFS(#REF!,#REF!,"2020",#REF!,'App. 1 (App)'!$A13,#REF!,"Official")-Q13+SUMIFS(#REF!,#REF!,"2020",#REF!,'App. 1 (App)'!$A13,#REF!,"Commercial")+SUMIFS(#REF!,#REF!,"2020",#REF!,'App. 1 (App)'!$A13,#REF!,"Other Concessional")</f>
        <v>#REF!</v>
      </c>
      <c r="Q13" s="10" t="e">
        <f>SUMIFS(#REF!,#REF!,"2020",#REF!,'App. 1 (App)'!$A13,#REF!,"TA Cofinancing",#REF!,"Official")+SUMIFS(#REF!,#REF!,"2020",#REF!,'App. 1 (App)'!$A13,#REF!,"TA Cofinancing",#REF!,"Other Concessional")</f>
        <v>#REF!</v>
      </c>
      <c r="R13" s="11" t="e">
        <f t="shared" si="7"/>
        <v>#REF!</v>
      </c>
      <c r="U13" s="9" t="s">
        <v>47</v>
      </c>
      <c r="V13" s="10" t="e">
        <f t="shared" si="1"/>
        <v>#REF!</v>
      </c>
      <c r="W13" s="10" t="e">
        <f t="shared" si="2"/>
        <v>#REF!</v>
      </c>
      <c r="X13" s="10" t="e">
        <f t="shared" si="3"/>
        <v>#REF!</v>
      </c>
      <c r="Y13" s="10" t="e">
        <f t="shared" si="3"/>
        <v>#REF!</v>
      </c>
      <c r="Z13" s="10" t="e">
        <f t="shared" si="4"/>
        <v>#REF!</v>
      </c>
      <c r="AA13" s="10" t="e">
        <f t="shared" si="8"/>
        <v>#REF!</v>
      </c>
      <c r="AB13" s="10" t="e">
        <f t="shared" si="9"/>
        <v>#REF!</v>
      </c>
      <c r="AC13" s="10" t="e">
        <f t="shared" si="10"/>
        <v>#REF!</v>
      </c>
      <c r="AD13" s="10" t="e">
        <f t="shared" si="11"/>
        <v>#REF!</v>
      </c>
      <c r="AE13" s="10" t="e">
        <f t="shared" si="12"/>
        <v>#REF!</v>
      </c>
      <c r="AF13" s="10" t="e">
        <f t="shared" si="13"/>
        <v>#REF!</v>
      </c>
      <c r="AG13" s="11" t="e">
        <f t="shared" si="14"/>
        <v>#REF!</v>
      </c>
      <c r="AH13" s="10" t="e">
        <f t="shared" si="15"/>
        <v>#REF!</v>
      </c>
      <c r="AI13" s="10" t="e">
        <f t="shared" si="16"/>
        <v>#REF!</v>
      </c>
      <c r="AJ13" s="11" t="e">
        <f t="shared" si="17"/>
        <v>#REF!</v>
      </c>
      <c r="AL13" s="3" t="s">
        <v>55</v>
      </c>
      <c r="AM13" s="13" t="e">
        <f t="shared" si="18"/>
        <v>#REF!</v>
      </c>
      <c r="AP13" s="12" t="s">
        <v>12</v>
      </c>
      <c r="AQ13" s="14" t="e">
        <f t="shared" si="19"/>
        <v>#REF!</v>
      </c>
    </row>
    <row r="14" spans="1:44">
      <c r="A14" s="3" t="s">
        <v>186</v>
      </c>
      <c r="C14" s="9" t="s">
        <v>51</v>
      </c>
      <c r="D14" s="10" t="e">
        <f>SUMIFS(#REF!,#REF!,"2020",#REF!,'App. 1 (App)'!$A14,#REF!,"Loan",#REF!,"OCR")</f>
        <v>#REF!</v>
      </c>
      <c r="E14" s="10" t="e">
        <f>SUMIFS(#REF!,#REF!,"2020",#REF!,'App. 1 (App)'!$A14,#REF!,"Guarantee",#REF!,"OCR")</f>
        <v>#REF!</v>
      </c>
      <c r="F14" s="10" t="e">
        <f>SUMIFS(#REF!,#REF!,"2020",#REF!,'App. 1 (App)'!$A14,#REF!,"Equity",#REF!,"OCR")</f>
        <v>#REF!</v>
      </c>
      <c r="G14" s="10" t="e">
        <f>SUMIFS(#REF!,#REF!,"2020",#REF!,'App. 1 (App)'!$A14,#REF!,"MFP",#REF!,"OCR")</f>
        <v>#REF!</v>
      </c>
      <c r="H14" s="10" t="e">
        <f>SUMIFS(#REF!,#REF!,"2020",#REF!,'App. 1 (App)'!$A14,#REF!,"SCFP",#REF!,"OCR")</f>
        <v>#REF!</v>
      </c>
      <c r="I14" s="10" t="e">
        <f>SUMIFS(#REF!,#REF!,"2020",#REF!,'App. 1 (App)'!$A14,#REF!,"TFP",#REF!,"OCR")</f>
        <v>#REF!</v>
      </c>
      <c r="J14" s="10" t="e">
        <f>SUMIFS(#REF!,#REF!,"2020",#REF!,'App. 1 (App)'!$A14,#REF!,"Loan",#REF!,"ADF")+SUMIFS(#REF!,#REF!,"2020",#REF!,'App. 1 (App)'!$A14,#REF!,"Loan",#REF!,"COL")</f>
        <v>#REF!</v>
      </c>
      <c r="K14" s="10" t="e">
        <f>SUMIFS(#REF!,#REF!,"2020",#REF!,'App. 1 (App)'!$A14,#REF!,"Grant",#REF!,"ADF")</f>
        <v>#REF!</v>
      </c>
      <c r="L14" s="10" t="e">
        <f>SUMIFS(#REF!,#REF!,"2020",#REF!,'App. 1 (App)'!$A14,#REF!,"TA",#REF!,"ADB")</f>
        <v>#REF!</v>
      </c>
      <c r="M14" s="10" t="e">
        <f>SUMIFS(#REF!,#REF!,"2020",#REF!,'App. 1 (App)'!$A14,#REF!,"Grant",#REF!,"Special Fund")</f>
        <v>#REF!</v>
      </c>
      <c r="N14" s="10" t="e">
        <f>SUMIFS(#REF!,#REF!,"2020",#REF!,'App. 1 (App)'!$A14,#REF!,"TA",#REF!,"Special Fund")</f>
        <v>#REF!</v>
      </c>
      <c r="O14" s="11" t="e">
        <f t="shared" si="6"/>
        <v>#REF!</v>
      </c>
      <c r="P14" s="10" t="e">
        <f>SUMIFS(#REF!,#REF!,"2020",#REF!,'App. 1 (App)'!$A14,#REF!,"Official")-Q14+SUMIFS(#REF!,#REF!,"2020",#REF!,'App. 1 (App)'!$A14,#REF!,"Commercial")+SUMIFS(#REF!,#REF!,"2020",#REF!,'App. 1 (App)'!$A14,#REF!,"Other Concessional")</f>
        <v>#REF!</v>
      </c>
      <c r="Q14" s="10" t="e">
        <f>SUMIFS(#REF!,#REF!,"2020",#REF!,'App. 1 (App)'!$A14,#REF!,"TA Cofinancing",#REF!,"Official")+SUMIFS(#REF!,#REF!,"2020",#REF!,'App. 1 (App)'!$A14,#REF!,"TA Cofinancing",#REF!,"Other Concessional")</f>
        <v>#REF!</v>
      </c>
      <c r="R14" s="11" t="e">
        <f t="shared" si="7"/>
        <v>#REF!</v>
      </c>
      <c r="U14" s="9" t="s">
        <v>51</v>
      </c>
      <c r="V14" s="10" t="e">
        <f t="shared" si="1"/>
        <v>#REF!</v>
      </c>
      <c r="W14" s="10" t="e">
        <f t="shared" si="2"/>
        <v>#REF!</v>
      </c>
      <c r="X14" s="10" t="e">
        <f t="shared" si="3"/>
        <v>#REF!</v>
      </c>
      <c r="Y14" s="10" t="e">
        <f t="shared" si="3"/>
        <v>#REF!</v>
      </c>
      <c r="Z14" s="10" t="e">
        <f t="shared" si="4"/>
        <v>#REF!</v>
      </c>
      <c r="AA14" s="10" t="e">
        <f t="shared" si="8"/>
        <v>#REF!</v>
      </c>
      <c r="AB14" s="10" t="e">
        <f t="shared" si="9"/>
        <v>#REF!</v>
      </c>
      <c r="AC14" s="10" t="e">
        <f t="shared" si="10"/>
        <v>#REF!</v>
      </c>
      <c r="AD14" s="10" t="e">
        <f t="shared" si="11"/>
        <v>#REF!</v>
      </c>
      <c r="AE14" s="10" t="e">
        <f t="shared" si="12"/>
        <v>#REF!</v>
      </c>
      <c r="AF14" s="10" t="e">
        <f t="shared" si="13"/>
        <v>#REF!</v>
      </c>
      <c r="AG14" s="11" t="e">
        <f t="shared" si="14"/>
        <v>#REF!</v>
      </c>
      <c r="AH14" s="10" t="e">
        <f t="shared" si="15"/>
        <v>#REF!</v>
      </c>
      <c r="AI14" s="10" t="e">
        <f t="shared" si="16"/>
        <v>#REF!</v>
      </c>
      <c r="AJ14" s="11" t="e">
        <f t="shared" si="17"/>
        <v>#REF!</v>
      </c>
      <c r="AL14" s="12" t="s">
        <v>53</v>
      </c>
      <c r="AM14" s="13" t="e">
        <f t="shared" si="18"/>
        <v>#REF!</v>
      </c>
      <c r="AP14" s="3" t="s">
        <v>109</v>
      </c>
      <c r="AQ14" s="14" t="e">
        <f t="shared" si="19"/>
        <v>#REF!</v>
      </c>
    </row>
    <row r="15" spans="1:44">
      <c r="A15" s="3" t="s">
        <v>187</v>
      </c>
      <c r="C15" s="15" t="s">
        <v>53</v>
      </c>
      <c r="D15" s="10" t="e">
        <f>SUMIFS(#REF!,#REF!,"2020",#REF!,'App. 1 (App)'!$A15,#REF!,"Loan",#REF!,"OCR")</f>
        <v>#REF!</v>
      </c>
      <c r="E15" s="10" t="e">
        <f>SUMIFS(#REF!,#REF!,"2020",#REF!,'App. 1 (App)'!$A15,#REF!,"Guarantee",#REF!,"OCR")</f>
        <v>#REF!</v>
      </c>
      <c r="F15" s="10" t="e">
        <f>SUMIFS(#REF!,#REF!,"2020",#REF!,'App. 1 (App)'!$A15,#REF!,"Equity",#REF!,"OCR")</f>
        <v>#REF!</v>
      </c>
      <c r="G15" s="10" t="e">
        <f>SUMIFS(#REF!,#REF!,"2020",#REF!,'App. 1 (App)'!$A15,#REF!,"MFP",#REF!,"OCR")</f>
        <v>#REF!</v>
      </c>
      <c r="H15" s="10" t="e">
        <f>SUMIFS(#REF!,#REF!,"2020",#REF!,'App. 1 (App)'!$A15,#REF!,"SCFP",#REF!,"OCR")</f>
        <v>#REF!</v>
      </c>
      <c r="I15" s="10" t="e">
        <f>SUMIFS(#REF!,#REF!,"2020",#REF!,'App. 1 (App)'!$A15,#REF!,"TFP",#REF!,"OCR")</f>
        <v>#REF!</v>
      </c>
      <c r="J15" s="10" t="e">
        <f>SUMIFS(#REF!,#REF!,"2020",#REF!,'App. 1 (App)'!$A15,#REF!,"Loan",#REF!,"ADF")+SUMIFS(#REF!,#REF!,"2020",#REF!,'App. 1 (App)'!$A15,#REF!,"Loan",#REF!,"COL")</f>
        <v>#REF!</v>
      </c>
      <c r="K15" s="10" t="e">
        <f>SUMIFS(#REF!,#REF!,"2020",#REF!,'App. 1 (App)'!$A15,#REF!,"Grant",#REF!,"ADF")</f>
        <v>#REF!</v>
      </c>
      <c r="L15" s="10" t="e">
        <f>SUMIFS(#REF!,#REF!,"2020",#REF!,'App. 1 (App)'!$A15,#REF!,"TA",#REF!,"ADB")</f>
        <v>#REF!</v>
      </c>
      <c r="M15" s="10" t="e">
        <f>SUMIFS(#REF!,#REF!,"2020",#REF!,'App. 1 (App)'!$A15,#REF!,"Grant",#REF!,"Special Fund")</f>
        <v>#REF!</v>
      </c>
      <c r="N15" s="10" t="e">
        <f>SUMIFS(#REF!,#REF!,"2020",#REF!,'App. 1 (App)'!$A15,#REF!,"TA",#REF!,"Special Fund")</f>
        <v>#REF!</v>
      </c>
      <c r="O15" s="11" t="e">
        <f t="shared" si="6"/>
        <v>#REF!</v>
      </c>
      <c r="P15" s="10" t="e">
        <f>SUMIFS(#REF!,#REF!,"2020",#REF!,'App. 1 (App)'!$A15,#REF!,"Official")-Q15+SUMIFS(#REF!,#REF!,"2020",#REF!,'App. 1 (App)'!$A15,#REF!,"Commercial")+SUMIFS(#REF!,#REF!,"2020",#REF!,'App. 1 (App)'!$A15,#REF!,"Other Concessional")</f>
        <v>#REF!</v>
      </c>
      <c r="Q15" s="10" t="e">
        <f>SUMIFS(#REF!,#REF!,"2020",#REF!,'App. 1 (App)'!$A15,#REF!,"TA Cofinancing",#REF!,"Official")+SUMIFS(#REF!,#REF!,"2020",#REF!,'App. 1 (App)'!$A15,#REF!,"TA Cofinancing",#REF!,"Other Concessional")</f>
        <v>#REF!</v>
      </c>
      <c r="R15" s="11" t="e">
        <f t="shared" si="7"/>
        <v>#REF!</v>
      </c>
      <c r="U15" s="15" t="s">
        <v>53</v>
      </c>
      <c r="V15" s="10" t="e">
        <f t="shared" si="1"/>
        <v>#REF!</v>
      </c>
      <c r="W15" s="10" t="e">
        <f t="shared" si="2"/>
        <v>#REF!</v>
      </c>
      <c r="X15" s="10" t="e">
        <f t="shared" si="3"/>
        <v>#REF!</v>
      </c>
      <c r="Y15" s="10" t="e">
        <f t="shared" si="3"/>
        <v>#REF!</v>
      </c>
      <c r="Z15" s="10" t="e">
        <f t="shared" si="4"/>
        <v>#REF!</v>
      </c>
      <c r="AA15" s="10" t="e">
        <f t="shared" si="8"/>
        <v>#REF!</v>
      </c>
      <c r="AB15" s="10" t="e">
        <f t="shared" si="9"/>
        <v>#REF!</v>
      </c>
      <c r="AC15" s="10" t="e">
        <f t="shared" si="10"/>
        <v>#REF!</v>
      </c>
      <c r="AD15" s="10" t="e">
        <f t="shared" si="11"/>
        <v>#REF!</v>
      </c>
      <c r="AE15" s="10" t="e">
        <f t="shared" si="12"/>
        <v>#REF!</v>
      </c>
      <c r="AF15" s="10" t="e">
        <f t="shared" si="13"/>
        <v>#REF!</v>
      </c>
      <c r="AG15" s="16" t="e">
        <f t="shared" si="14"/>
        <v>#REF!</v>
      </c>
      <c r="AH15" s="10" t="e">
        <f t="shared" si="15"/>
        <v>#REF!</v>
      </c>
      <c r="AI15" s="10" t="e">
        <f t="shared" si="16"/>
        <v>#REF!</v>
      </c>
      <c r="AJ15" s="16" t="e">
        <f t="shared" si="17"/>
        <v>#REF!</v>
      </c>
      <c r="AL15" s="12" t="s">
        <v>28</v>
      </c>
      <c r="AM15" s="13" t="e">
        <f t="shared" si="18"/>
        <v>#REF!</v>
      </c>
      <c r="AP15" s="12" t="s">
        <v>28</v>
      </c>
      <c r="AQ15" s="14" t="e">
        <f t="shared" si="19"/>
        <v>#REF!</v>
      </c>
    </row>
    <row r="16" spans="1:44" ht="15">
      <c r="C16" s="6" t="s">
        <v>188</v>
      </c>
      <c r="D16" s="17" t="e">
        <f>SUM(D17:D22)</f>
        <v>#REF!</v>
      </c>
      <c r="E16" s="17" t="e">
        <f t="shared" ref="E16:Q16" si="20">SUM(E17:E22)</f>
        <v>#REF!</v>
      </c>
      <c r="F16" s="17" t="e">
        <f t="shared" si="20"/>
        <v>#REF!</v>
      </c>
      <c r="G16" s="17" t="e">
        <f t="shared" si="20"/>
        <v>#REF!</v>
      </c>
      <c r="H16" s="17" t="e">
        <f t="shared" si="20"/>
        <v>#REF!</v>
      </c>
      <c r="I16" s="17" t="e">
        <f t="shared" si="20"/>
        <v>#REF!</v>
      </c>
      <c r="J16" s="17" t="e">
        <f t="shared" si="20"/>
        <v>#REF!</v>
      </c>
      <c r="K16" s="17" t="e">
        <f t="shared" si="20"/>
        <v>#REF!</v>
      </c>
      <c r="L16" s="17" t="e">
        <f t="shared" si="20"/>
        <v>#REF!</v>
      </c>
      <c r="M16" s="17" t="e">
        <f t="shared" si="20"/>
        <v>#REF!</v>
      </c>
      <c r="N16" s="17" t="e">
        <f t="shared" si="20"/>
        <v>#REF!</v>
      </c>
      <c r="O16" s="7" t="e">
        <f t="shared" si="6"/>
        <v>#REF!</v>
      </c>
      <c r="P16" s="17" t="e">
        <f t="shared" si="20"/>
        <v>#REF!</v>
      </c>
      <c r="Q16" s="17" t="e">
        <f t="shared" si="20"/>
        <v>#REF!</v>
      </c>
      <c r="R16" s="7" t="e">
        <f t="shared" si="7"/>
        <v>#REF!</v>
      </c>
      <c r="U16" s="6" t="s">
        <v>188</v>
      </c>
      <c r="V16" s="17" t="e">
        <f t="shared" si="1"/>
        <v>#REF!</v>
      </c>
      <c r="W16" s="17" t="e">
        <f t="shared" si="2"/>
        <v>#REF!</v>
      </c>
      <c r="X16" s="17" t="e">
        <f t="shared" si="3"/>
        <v>#REF!</v>
      </c>
      <c r="Y16" s="17" t="e">
        <f t="shared" si="3"/>
        <v>#REF!</v>
      </c>
      <c r="Z16" s="17" t="e">
        <f t="shared" si="4"/>
        <v>#REF!</v>
      </c>
      <c r="AA16" s="17" t="e">
        <f t="shared" si="8"/>
        <v>#REF!</v>
      </c>
      <c r="AB16" s="17" t="e">
        <f t="shared" si="9"/>
        <v>#REF!</v>
      </c>
      <c r="AC16" s="17" t="e">
        <f t="shared" si="10"/>
        <v>#REF!</v>
      </c>
      <c r="AD16" s="17" t="e">
        <f t="shared" si="11"/>
        <v>#REF!</v>
      </c>
      <c r="AE16" s="17" t="e">
        <f t="shared" si="12"/>
        <v>#REF!</v>
      </c>
      <c r="AF16" s="17" t="e">
        <f t="shared" si="13"/>
        <v>#REF!</v>
      </c>
      <c r="AG16" s="7" t="e">
        <f t="shared" si="14"/>
        <v>#REF!</v>
      </c>
      <c r="AH16" s="17" t="e">
        <f t="shared" si="15"/>
        <v>#REF!</v>
      </c>
      <c r="AI16" s="17" t="e">
        <f t="shared" si="16"/>
        <v>#REF!</v>
      </c>
      <c r="AJ16" s="7" t="e">
        <f t="shared" si="17"/>
        <v>#REF!</v>
      </c>
      <c r="AL16" s="12" t="s">
        <v>46</v>
      </c>
      <c r="AM16" s="13" t="e">
        <f t="shared" si="18"/>
        <v>#REF!</v>
      </c>
      <c r="AP16" s="12" t="s">
        <v>37</v>
      </c>
      <c r="AQ16" s="14" t="e">
        <f t="shared" si="19"/>
        <v>#REF!</v>
      </c>
    </row>
    <row r="17" spans="1:43">
      <c r="A17" s="3" t="s">
        <v>189</v>
      </c>
      <c r="C17" s="9" t="s">
        <v>12</v>
      </c>
      <c r="D17" s="10" t="e">
        <f>SUMIFS(#REF!,#REF!,"2020",#REF!,'App. 1 (App)'!$A17,#REF!,"Loan",#REF!,"OCR")</f>
        <v>#REF!</v>
      </c>
      <c r="E17" s="10" t="e">
        <f>SUMIFS(#REF!,#REF!,"2020",#REF!,'App. 1 (App)'!$A17,#REF!,"Guarantee",#REF!,"OCR")</f>
        <v>#REF!</v>
      </c>
      <c r="F17" s="10" t="e">
        <f>SUMIFS(#REF!,#REF!,"2020",#REF!,'App. 1 (App)'!$A17,#REF!,"Equity",#REF!,"OCR")</f>
        <v>#REF!</v>
      </c>
      <c r="G17" s="10" t="e">
        <f>SUMIFS(#REF!,#REF!,"2020",#REF!,'App. 1 (App)'!$A17,#REF!,"MFP",#REF!,"OCR")</f>
        <v>#REF!</v>
      </c>
      <c r="H17" s="10" t="e">
        <f>SUMIFS(#REF!,#REF!,"2020",#REF!,'App. 1 (App)'!$A17,#REF!,"SCFP",#REF!,"OCR")</f>
        <v>#REF!</v>
      </c>
      <c r="I17" s="10" t="e">
        <f>SUMIFS(#REF!,#REF!,"2020",#REF!,'App. 1 (App)'!$A17,#REF!,"TFP",#REF!,"OCR")</f>
        <v>#REF!</v>
      </c>
      <c r="J17" s="10" t="e">
        <f>SUMIFS(#REF!,#REF!,"2020",#REF!,'App. 1 (App)'!$A17,#REF!,"Loan",#REF!,"ADF")+SUMIFS(#REF!,#REF!,"2020",#REF!,'App. 1 (App)'!$A17,#REF!,"Loan",#REF!,"COL")</f>
        <v>#REF!</v>
      </c>
      <c r="K17" s="10" t="e">
        <f>SUMIFS(#REF!,#REF!,"2020",#REF!,'App. 1 (App)'!$A17,#REF!,"Grant",#REF!,"ADF")</f>
        <v>#REF!</v>
      </c>
      <c r="L17" s="10" t="e">
        <f>SUMIFS(#REF!,#REF!,"2020",#REF!,'App. 1 (App)'!$A17,#REF!,"TA",#REF!,"ADB")</f>
        <v>#REF!</v>
      </c>
      <c r="M17" s="10" t="e">
        <f>SUMIFS(#REF!,#REF!,"2020",#REF!,'App. 1 (App)'!$A17,#REF!,"Grant",#REF!,"Special Fund")</f>
        <v>#REF!</v>
      </c>
      <c r="N17" s="10" t="e">
        <f>SUMIFS(#REF!,#REF!,"2020",#REF!,'App. 1 (App)'!$A17,#REF!,"TA",#REF!,"Special Fund")</f>
        <v>#REF!</v>
      </c>
      <c r="O17" s="11" t="e">
        <f t="shared" si="6"/>
        <v>#REF!</v>
      </c>
      <c r="P17" s="10" t="e">
        <f>SUMIFS(#REF!,#REF!,"2020",#REF!,'App. 1 (App)'!$A17,#REF!,"Official")-Q17+SUMIFS(#REF!,#REF!,"2020",#REF!,'App. 1 (App)'!$A17,#REF!,"Commercial")+SUMIFS(#REF!,#REF!,"2020",#REF!,'App. 1 (App)'!$A17,#REF!,"Other Concessional")</f>
        <v>#REF!</v>
      </c>
      <c r="Q17" s="10" t="e">
        <f>SUMIFS(#REF!,#REF!,"2020",#REF!,'App. 1 (App)'!$A17,#REF!,"TA Cofinancing",#REF!,"Official")+SUMIFS(#REF!,#REF!,"2020",#REF!,'App. 1 (App)'!$A17,#REF!,"TA Cofinancing",#REF!,"Other Concessional")</f>
        <v>#REF!</v>
      </c>
      <c r="R17" s="11" t="e">
        <f t="shared" si="7"/>
        <v>#REF!</v>
      </c>
      <c r="U17" s="9" t="s">
        <v>12</v>
      </c>
      <c r="V17" s="10" t="e">
        <f t="shared" si="1"/>
        <v>#REF!</v>
      </c>
      <c r="W17" s="10" t="e">
        <f t="shared" si="2"/>
        <v>#REF!</v>
      </c>
      <c r="X17" s="10" t="e">
        <f t="shared" si="3"/>
        <v>#REF!</v>
      </c>
      <c r="Y17" s="10" t="e">
        <f t="shared" si="3"/>
        <v>#REF!</v>
      </c>
      <c r="Z17" s="10" t="e">
        <f t="shared" si="4"/>
        <v>#REF!</v>
      </c>
      <c r="AA17" s="10" t="e">
        <f t="shared" si="8"/>
        <v>#REF!</v>
      </c>
      <c r="AB17" s="10" t="e">
        <f t="shared" si="9"/>
        <v>#REF!</v>
      </c>
      <c r="AC17" s="10" t="e">
        <f t="shared" si="10"/>
        <v>#REF!</v>
      </c>
      <c r="AD17" s="10" t="e">
        <f t="shared" si="11"/>
        <v>#REF!</v>
      </c>
      <c r="AE17" s="10" t="e">
        <f t="shared" si="12"/>
        <v>#REF!</v>
      </c>
      <c r="AF17" s="10" t="e">
        <f t="shared" si="13"/>
        <v>#REF!</v>
      </c>
      <c r="AG17" s="11" t="e">
        <f t="shared" si="14"/>
        <v>#REF!</v>
      </c>
      <c r="AH17" s="10" t="e">
        <f t="shared" si="15"/>
        <v>#REF!</v>
      </c>
      <c r="AI17" s="10" t="e">
        <f t="shared" si="16"/>
        <v>#REF!</v>
      </c>
      <c r="AJ17" s="11" t="e">
        <f t="shared" si="17"/>
        <v>#REF!</v>
      </c>
      <c r="AL17" s="3" t="s">
        <v>109</v>
      </c>
      <c r="AM17" s="13" t="e">
        <f t="shared" si="18"/>
        <v>#REF!</v>
      </c>
      <c r="AP17" s="12" t="s">
        <v>23</v>
      </c>
      <c r="AQ17" s="14" t="e">
        <f t="shared" si="19"/>
        <v>#REF!</v>
      </c>
    </row>
    <row r="18" spans="1:43">
      <c r="A18" s="3" t="s">
        <v>190</v>
      </c>
      <c r="C18" s="9" t="s">
        <v>14</v>
      </c>
      <c r="D18" s="10" t="e">
        <f>SUMIFS(#REF!,#REF!,"2020",#REF!,'App. 1 (App)'!$A18,#REF!,"Loan",#REF!,"OCR")</f>
        <v>#REF!</v>
      </c>
      <c r="E18" s="10" t="e">
        <f>SUMIFS(#REF!,#REF!,"2020",#REF!,'App. 1 (App)'!$A18,#REF!,"Guarantee",#REF!,"OCR")</f>
        <v>#REF!</v>
      </c>
      <c r="F18" s="10" t="e">
        <f>SUMIFS(#REF!,#REF!,"2020",#REF!,'App. 1 (App)'!$A18,#REF!,"Equity",#REF!,"OCR")</f>
        <v>#REF!</v>
      </c>
      <c r="G18" s="10" t="e">
        <f>SUMIFS(#REF!,#REF!,"2020",#REF!,'App. 1 (App)'!$A18,#REF!,"MFP",#REF!,"OCR")</f>
        <v>#REF!</v>
      </c>
      <c r="H18" s="10" t="e">
        <f>SUMIFS(#REF!,#REF!,"2020",#REF!,'App. 1 (App)'!$A18,#REF!,"SCFP",#REF!,"OCR")</f>
        <v>#REF!</v>
      </c>
      <c r="I18" s="10" t="e">
        <f>SUMIFS(#REF!,#REF!,"2020",#REF!,'App. 1 (App)'!$A18,#REF!,"TFP",#REF!,"OCR")</f>
        <v>#REF!</v>
      </c>
      <c r="J18" s="10" t="e">
        <f>SUMIFS(#REF!,#REF!,"2020",#REF!,'App. 1 (App)'!$A18,#REF!,"Loan",#REF!,"ADF")+SUMIFS(#REF!,#REF!,"2020",#REF!,'App. 1 (App)'!$A18,#REF!,"Loan",#REF!,"COL")</f>
        <v>#REF!</v>
      </c>
      <c r="K18" s="10" t="e">
        <f>SUMIFS(#REF!,#REF!,"2020",#REF!,'App. 1 (App)'!$A18,#REF!,"Grant",#REF!,"ADF")</f>
        <v>#REF!</v>
      </c>
      <c r="L18" s="10" t="e">
        <f>SUMIFS(#REF!,#REF!,"2020",#REF!,'App. 1 (App)'!$A18,#REF!,"TA",#REF!,"ADB")</f>
        <v>#REF!</v>
      </c>
      <c r="M18" s="10" t="e">
        <f>SUMIFS(#REF!,#REF!,"2020",#REF!,'App. 1 (App)'!$A18,#REF!,"Grant",#REF!,"Special Fund")</f>
        <v>#REF!</v>
      </c>
      <c r="N18" s="10" t="e">
        <f>SUMIFS(#REF!,#REF!,"2020",#REF!,'App. 1 (App)'!$A18,#REF!,"TA",#REF!,"Special Fund")</f>
        <v>#REF!</v>
      </c>
      <c r="O18" s="11" t="e">
        <f t="shared" si="6"/>
        <v>#REF!</v>
      </c>
      <c r="P18" s="10" t="e">
        <f>SUMIFS(#REF!,#REF!,"2020",#REF!,'App. 1 (App)'!$A18,#REF!,"Official")-Q18+SUMIFS(#REF!,#REF!,"2020",#REF!,'App. 1 (App)'!$A18,#REF!,"Commercial")+SUMIFS(#REF!,#REF!,"2020",#REF!,'App. 1 (App)'!$A18,#REF!,"Other Concessional")</f>
        <v>#REF!</v>
      </c>
      <c r="Q18" s="10" t="e">
        <f>SUMIFS(#REF!,#REF!,"2020",#REF!,'App. 1 (App)'!$A18,#REF!,"TA Cofinancing",#REF!,"Official")+SUMIFS(#REF!,#REF!,"2020",#REF!,'App. 1 (App)'!$A18,#REF!,"TA Cofinancing",#REF!,"Other Concessional")</f>
        <v>#REF!</v>
      </c>
      <c r="R18" s="11" t="e">
        <f t="shared" si="7"/>
        <v>#REF!</v>
      </c>
      <c r="U18" s="9" t="s">
        <v>14</v>
      </c>
      <c r="V18" s="10" t="e">
        <f t="shared" si="1"/>
        <v>#REF!</v>
      </c>
      <c r="W18" s="10" t="e">
        <f t="shared" si="2"/>
        <v>#REF!</v>
      </c>
      <c r="X18" s="10" t="e">
        <f t="shared" si="3"/>
        <v>#REF!</v>
      </c>
      <c r="Y18" s="10" t="e">
        <f t="shared" si="3"/>
        <v>#REF!</v>
      </c>
      <c r="Z18" s="10" t="e">
        <f t="shared" si="4"/>
        <v>#REF!</v>
      </c>
      <c r="AA18" s="10" t="e">
        <f t="shared" si="8"/>
        <v>#REF!</v>
      </c>
      <c r="AB18" s="10" t="e">
        <f t="shared" si="9"/>
        <v>#REF!</v>
      </c>
      <c r="AC18" s="10" t="e">
        <f t="shared" si="10"/>
        <v>#REF!</v>
      </c>
      <c r="AD18" s="10" t="e">
        <f t="shared" si="11"/>
        <v>#REF!</v>
      </c>
      <c r="AE18" s="10" t="e">
        <f t="shared" si="12"/>
        <v>#REF!</v>
      </c>
      <c r="AF18" s="10" t="e">
        <f t="shared" si="13"/>
        <v>#REF!</v>
      </c>
      <c r="AG18" s="11" t="e">
        <f t="shared" si="14"/>
        <v>#REF!</v>
      </c>
      <c r="AH18" s="10" t="e">
        <f t="shared" si="15"/>
        <v>#REF!</v>
      </c>
      <c r="AI18" s="10" t="e">
        <f t="shared" si="16"/>
        <v>#REF!</v>
      </c>
      <c r="AJ18" s="11" t="e">
        <f t="shared" si="17"/>
        <v>#REF!</v>
      </c>
      <c r="AL18" s="3" t="s">
        <v>156</v>
      </c>
      <c r="AM18" s="13" t="e">
        <f t="shared" si="18"/>
        <v>#REF!</v>
      </c>
      <c r="AP18" s="12" t="s">
        <v>46</v>
      </c>
      <c r="AQ18" s="14" t="e">
        <f t="shared" si="19"/>
        <v>#REF!</v>
      </c>
    </row>
    <row r="19" spans="1:43">
      <c r="A19" s="3" t="s">
        <v>191</v>
      </c>
      <c r="C19" s="9" t="s">
        <v>25</v>
      </c>
      <c r="D19" s="10" t="e">
        <f>SUMIFS(#REF!,#REF!,"2020",#REF!,'App. 1 (App)'!$A19,#REF!,"Loan",#REF!,"OCR")</f>
        <v>#REF!</v>
      </c>
      <c r="E19" s="10" t="e">
        <f>SUMIFS(#REF!,#REF!,"2020",#REF!,'App. 1 (App)'!$A19,#REF!,"Guarantee",#REF!,"OCR")</f>
        <v>#REF!</v>
      </c>
      <c r="F19" s="10" t="e">
        <f>SUMIFS(#REF!,#REF!,"2020",#REF!,'App. 1 (App)'!$A19,#REF!,"Equity",#REF!,"OCR")</f>
        <v>#REF!</v>
      </c>
      <c r="G19" s="10" t="e">
        <f>SUMIFS(#REF!,#REF!,"2020",#REF!,'App. 1 (App)'!$A19,#REF!,"MFP",#REF!,"OCR")</f>
        <v>#REF!</v>
      </c>
      <c r="H19" s="10" t="e">
        <f>SUMIFS(#REF!,#REF!,"2020",#REF!,'App. 1 (App)'!$A19,#REF!,"SCFP",#REF!,"OCR")</f>
        <v>#REF!</v>
      </c>
      <c r="I19" s="10" t="e">
        <f>SUMIFS(#REF!,#REF!,"2020",#REF!,'App. 1 (App)'!$A19,#REF!,"TFP",#REF!,"OCR")</f>
        <v>#REF!</v>
      </c>
      <c r="J19" s="10" t="e">
        <f>SUMIFS(#REF!,#REF!,"2020",#REF!,'App. 1 (App)'!$A19,#REF!,"Loan",#REF!,"ADF")+SUMIFS(#REF!,#REF!,"2020",#REF!,'App. 1 (App)'!$A19,#REF!,"Loan",#REF!,"COL")</f>
        <v>#REF!</v>
      </c>
      <c r="K19" s="10" t="e">
        <f>SUMIFS(#REF!,#REF!,"2020",#REF!,'App. 1 (App)'!$A19,#REF!,"Grant",#REF!,"ADF")</f>
        <v>#REF!</v>
      </c>
      <c r="L19" s="10" t="e">
        <f>SUMIFS(#REF!,#REF!,"2020",#REF!,'App. 1 (App)'!$A19,#REF!,"TA",#REF!,"ADB")</f>
        <v>#REF!</v>
      </c>
      <c r="M19" s="10" t="e">
        <f>SUMIFS(#REF!,#REF!,"2020",#REF!,'App. 1 (App)'!$A19,#REF!,"Grant",#REF!,"Special Fund")</f>
        <v>#REF!</v>
      </c>
      <c r="N19" s="10" t="e">
        <f>SUMIFS(#REF!,#REF!,"2020",#REF!,'App. 1 (App)'!$A19,#REF!,"TA",#REF!,"Special Fund")</f>
        <v>#REF!</v>
      </c>
      <c r="O19" s="11" t="e">
        <f t="shared" si="6"/>
        <v>#REF!</v>
      </c>
      <c r="P19" s="10" t="e">
        <f>SUMIFS(#REF!,#REF!,"2020",#REF!,'App. 1 (App)'!$A19,#REF!,"Official")-Q19+SUMIFS(#REF!,#REF!,"2020",#REF!,'App. 1 (App)'!$A19,#REF!,"Commercial")+SUMIFS(#REF!,#REF!,"2020",#REF!,'App. 1 (App)'!$A19,#REF!,"Other Concessional")</f>
        <v>#REF!</v>
      </c>
      <c r="Q19" s="10" t="e">
        <f>SUMIFS(#REF!,#REF!,"2020",#REF!,'App. 1 (App)'!$A19,#REF!,"TA Cofinancing",#REF!,"Official")+SUMIFS(#REF!,#REF!,"2020",#REF!,'App. 1 (App)'!$A19,#REF!,"TA Cofinancing",#REF!,"Other Concessional")</f>
        <v>#REF!</v>
      </c>
      <c r="R19" s="11" t="e">
        <f t="shared" si="7"/>
        <v>#REF!</v>
      </c>
      <c r="U19" s="9" t="s">
        <v>25</v>
      </c>
      <c r="V19" s="10" t="e">
        <f t="shared" si="1"/>
        <v>#REF!</v>
      </c>
      <c r="W19" s="10" t="e">
        <f t="shared" si="2"/>
        <v>#REF!</v>
      </c>
      <c r="X19" s="10" t="e">
        <f t="shared" si="3"/>
        <v>#REF!</v>
      </c>
      <c r="Y19" s="10" t="e">
        <f t="shared" si="3"/>
        <v>#REF!</v>
      </c>
      <c r="Z19" s="10" t="e">
        <f t="shared" si="4"/>
        <v>#REF!</v>
      </c>
      <c r="AA19" s="10" t="e">
        <f t="shared" si="8"/>
        <v>#REF!</v>
      </c>
      <c r="AB19" s="10" t="e">
        <f t="shared" si="9"/>
        <v>#REF!</v>
      </c>
      <c r="AC19" s="10" t="e">
        <f t="shared" si="10"/>
        <v>#REF!</v>
      </c>
      <c r="AD19" s="10" t="e">
        <f t="shared" si="11"/>
        <v>#REF!</v>
      </c>
      <c r="AE19" s="10" t="e">
        <f t="shared" si="12"/>
        <v>#REF!</v>
      </c>
      <c r="AF19" s="10" t="e">
        <f t="shared" si="13"/>
        <v>#REF!</v>
      </c>
      <c r="AG19" s="11" t="e">
        <f t="shared" si="14"/>
        <v>#REF!</v>
      </c>
      <c r="AH19" s="10" t="e">
        <f t="shared" si="15"/>
        <v>#REF!</v>
      </c>
      <c r="AI19" s="10" t="e">
        <f t="shared" si="16"/>
        <v>#REF!</v>
      </c>
      <c r="AJ19" s="11" t="e">
        <f t="shared" si="17"/>
        <v>#REF!</v>
      </c>
      <c r="AL19" s="12" t="s">
        <v>37</v>
      </c>
      <c r="AM19" s="13" t="e">
        <f t="shared" si="18"/>
        <v>#REF!</v>
      </c>
      <c r="AP19" s="12" t="s">
        <v>42</v>
      </c>
      <c r="AQ19" s="14" t="e">
        <f t="shared" si="19"/>
        <v>#REF!</v>
      </c>
    </row>
    <row r="20" spans="1:43">
      <c r="A20" s="3" t="s">
        <v>192</v>
      </c>
      <c r="C20" s="9" t="s">
        <v>33</v>
      </c>
      <c r="D20" s="10" t="e">
        <f>SUMIFS(#REF!,#REF!,"2020",#REF!,'App. 1 (App)'!$A20,#REF!,"Loan",#REF!,"OCR")</f>
        <v>#REF!</v>
      </c>
      <c r="E20" s="10" t="e">
        <f>SUMIFS(#REF!,#REF!,"2020",#REF!,'App. 1 (App)'!$A20,#REF!,"Guarantee",#REF!,"OCR")</f>
        <v>#REF!</v>
      </c>
      <c r="F20" s="10" t="e">
        <f>SUMIFS(#REF!,#REF!,"2020",#REF!,'App. 1 (App)'!$A20,#REF!,"Equity",#REF!,"OCR")</f>
        <v>#REF!</v>
      </c>
      <c r="G20" s="10" t="e">
        <f>SUMIFS(#REF!,#REF!,"2020",#REF!,'App. 1 (App)'!$A20,#REF!,"MFP",#REF!,"OCR")</f>
        <v>#REF!</v>
      </c>
      <c r="H20" s="10" t="e">
        <f>SUMIFS(#REF!,#REF!,"2020",#REF!,'App. 1 (App)'!$A20,#REF!,"SCFP",#REF!,"OCR")</f>
        <v>#REF!</v>
      </c>
      <c r="I20" s="10" t="e">
        <f>SUMIFS(#REF!,#REF!,"2020",#REF!,'App. 1 (App)'!$A20,#REF!,"TFP",#REF!,"OCR")</f>
        <v>#REF!</v>
      </c>
      <c r="J20" s="10" t="e">
        <f>SUMIFS(#REF!,#REF!,"2020",#REF!,'App. 1 (App)'!$A20,#REF!,"Loan",#REF!,"ADF")+SUMIFS(#REF!,#REF!,"2020",#REF!,'App. 1 (App)'!$A20,#REF!,"Loan",#REF!,"COL")</f>
        <v>#REF!</v>
      </c>
      <c r="K20" s="10" t="e">
        <f>SUMIFS(#REF!,#REF!,"2020",#REF!,'App. 1 (App)'!$A20,#REF!,"Grant",#REF!,"ADF")</f>
        <v>#REF!</v>
      </c>
      <c r="L20" s="10" t="e">
        <f>SUMIFS(#REF!,#REF!,"2020",#REF!,'App. 1 (App)'!$A20,#REF!,"TA",#REF!,"ADB")</f>
        <v>#REF!</v>
      </c>
      <c r="M20" s="10" t="e">
        <f>SUMIFS(#REF!,#REF!,"2020",#REF!,'App. 1 (App)'!$A20,#REF!,"Grant",#REF!,"Special Fund")</f>
        <v>#REF!</v>
      </c>
      <c r="N20" s="10" t="e">
        <f>SUMIFS(#REF!,#REF!,"2020",#REF!,'App. 1 (App)'!$A20,#REF!,"TA",#REF!,"Special Fund")</f>
        <v>#REF!</v>
      </c>
      <c r="O20" s="11" t="e">
        <f t="shared" si="6"/>
        <v>#REF!</v>
      </c>
      <c r="P20" s="10" t="e">
        <f>SUMIFS(#REF!,#REF!,"2020",#REF!,'App. 1 (App)'!$A20,#REF!,"Official")-Q20+SUMIFS(#REF!,#REF!,"2020",#REF!,'App. 1 (App)'!$A20,#REF!,"Commercial")+SUMIFS(#REF!,#REF!,"2020",#REF!,'App. 1 (App)'!$A20,#REF!,"Other Concessional")</f>
        <v>#REF!</v>
      </c>
      <c r="Q20" s="10" t="e">
        <f>SUMIFS(#REF!,#REF!,"2020",#REF!,'App. 1 (App)'!$A20,#REF!,"TA Cofinancing",#REF!,"Official")+SUMIFS(#REF!,#REF!,"2020",#REF!,'App. 1 (App)'!$A20,#REF!,"TA Cofinancing",#REF!,"Other Concessional")</f>
        <v>#REF!</v>
      </c>
      <c r="R20" s="11" t="e">
        <f t="shared" si="7"/>
        <v>#REF!</v>
      </c>
      <c r="U20" s="9" t="s">
        <v>33</v>
      </c>
      <c r="V20" s="10" t="e">
        <f t="shared" si="1"/>
        <v>#REF!</v>
      </c>
      <c r="W20" s="10" t="e">
        <f t="shared" si="2"/>
        <v>#REF!</v>
      </c>
      <c r="X20" s="10" t="e">
        <f t="shared" si="3"/>
        <v>#REF!</v>
      </c>
      <c r="Y20" s="10" t="e">
        <f t="shared" si="3"/>
        <v>#REF!</v>
      </c>
      <c r="Z20" s="10" t="e">
        <f t="shared" si="4"/>
        <v>#REF!</v>
      </c>
      <c r="AA20" s="10" t="e">
        <f t="shared" si="8"/>
        <v>#REF!</v>
      </c>
      <c r="AB20" s="10" t="e">
        <f t="shared" si="9"/>
        <v>#REF!</v>
      </c>
      <c r="AC20" s="10" t="e">
        <f t="shared" si="10"/>
        <v>#REF!</v>
      </c>
      <c r="AD20" s="10" t="e">
        <f t="shared" si="11"/>
        <v>#REF!</v>
      </c>
      <c r="AE20" s="10" t="e">
        <f t="shared" si="12"/>
        <v>#REF!</v>
      </c>
      <c r="AF20" s="10" t="e">
        <f t="shared" si="13"/>
        <v>#REF!</v>
      </c>
      <c r="AG20" s="11" t="e">
        <f t="shared" si="14"/>
        <v>#REF!</v>
      </c>
      <c r="AH20" s="10" t="e">
        <f t="shared" si="15"/>
        <v>#REF!</v>
      </c>
      <c r="AI20" s="10" t="e">
        <f t="shared" si="16"/>
        <v>#REF!</v>
      </c>
      <c r="AJ20" s="11" t="e">
        <f t="shared" si="17"/>
        <v>#REF!</v>
      </c>
      <c r="AL20" s="12" t="s">
        <v>42</v>
      </c>
      <c r="AM20" s="13" t="e">
        <f t="shared" si="18"/>
        <v>#REF!</v>
      </c>
      <c r="AP20" s="3" t="s">
        <v>156</v>
      </c>
      <c r="AQ20" s="14" t="e">
        <f t="shared" si="19"/>
        <v>#REF!</v>
      </c>
    </row>
    <row r="21" spans="1:43">
      <c r="A21" s="3" t="s">
        <v>193</v>
      </c>
      <c r="C21" s="9" t="s">
        <v>37</v>
      </c>
      <c r="D21" s="10" t="e">
        <f>SUMIFS(#REF!,#REF!,"2020",#REF!,'App. 1 (App)'!$A21,#REF!,"Loan",#REF!,"OCR")</f>
        <v>#REF!</v>
      </c>
      <c r="E21" s="10" t="e">
        <f>SUMIFS(#REF!,#REF!,"2020",#REF!,'App. 1 (App)'!$A21,#REF!,"Guarantee",#REF!,"OCR")</f>
        <v>#REF!</v>
      </c>
      <c r="F21" s="10" t="e">
        <f>SUMIFS(#REF!,#REF!,"2020",#REF!,'App. 1 (App)'!$A21,#REF!,"Equity",#REF!,"OCR")</f>
        <v>#REF!</v>
      </c>
      <c r="G21" s="10" t="e">
        <f>SUMIFS(#REF!,#REF!,"2020",#REF!,'App. 1 (App)'!$A21,#REF!,"MFP",#REF!,"OCR")</f>
        <v>#REF!</v>
      </c>
      <c r="H21" s="10" t="e">
        <f>SUMIFS(#REF!,#REF!,"2020",#REF!,'App. 1 (App)'!$A21,#REF!,"SCFP",#REF!,"OCR")</f>
        <v>#REF!</v>
      </c>
      <c r="I21" s="10" t="e">
        <f>SUMIFS(#REF!,#REF!,"2020",#REF!,'App. 1 (App)'!$A21,#REF!,"TFP",#REF!,"OCR")</f>
        <v>#REF!</v>
      </c>
      <c r="J21" s="10" t="e">
        <f>SUMIFS(#REF!,#REF!,"2020",#REF!,'App. 1 (App)'!$A21,#REF!,"Loan",#REF!,"ADF")+SUMIFS(#REF!,#REF!,"2020",#REF!,'App. 1 (App)'!$A21,#REF!,"Loan",#REF!,"COL")</f>
        <v>#REF!</v>
      </c>
      <c r="K21" s="10" t="e">
        <f>SUMIFS(#REF!,#REF!,"2020",#REF!,'App. 1 (App)'!$A21,#REF!,"Grant",#REF!,"ADF")</f>
        <v>#REF!</v>
      </c>
      <c r="L21" s="10" t="e">
        <f>SUMIFS(#REF!,#REF!,"2020",#REF!,'App. 1 (App)'!$A21,#REF!,"TA",#REF!,"ADB")</f>
        <v>#REF!</v>
      </c>
      <c r="M21" s="10" t="e">
        <f>SUMIFS(#REF!,#REF!,"2020",#REF!,'App. 1 (App)'!$A21,#REF!,"Grant",#REF!,"Special Fund")</f>
        <v>#REF!</v>
      </c>
      <c r="N21" s="10" t="e">
        <f>SUMIFS(#REF!,#REF!,"2020",#REF!,'App. 1 (App)'!$A21,#REF!,"TA",#REF!,"Special Fund")</f>
        <v>#REF!</v>
      </c>
      <c r="O21" s="11" t="e">
        <f t="shared" si="6"/>
        <v>#REF!</v>
      </c>
      <c r="P21" s="10" t="e">
        <f>SUMIFS(#REF!,#REF!,"2020",#REF!,'App. 1 (App)'!$A21,#REF!,"Official")-Q21+SUMIFS(#REF!,#REF!,"2020",#REF!,'App. 1 (App)'!$A21,#REF!,"Commercial")+SUMIFS(#REF!,#REF!,"2020",#REF!,'App. 1 (App)'!$A21,#REF!,"Other Concessional")</f>
        <v>#REF!</v>
      </c>
      <c r="Q21" s="10" t="e">
        <f>SUMIFS(#REF!,#REF!,"2020",#REF!,'App. 1 (App)'!$A21,#REF!,"TA Cofinancing",#REF!,"Official")+SUMIFS(#REF!,#REF!,"2020",#REF!,'App. 1 (App)'!$A21,#REF!,"TA Cofinancing",#REF!,"Other Concessional")</f>
        <v>#REF!</v>
      </c>
      <c r="R21" s="11" t="e">
        <f t="shared" si="7"/>
        <v>#REF!</v>
      </c>
      <c r="U21" s="9" t="s">
        <v>37</v>
      </c>
      <c r="V21" s="10" t="e">
        <f t="shared" si="1"/>
        <v>#REF!</v>
      </c>
      <c r="W21" s="10" t="e">
        <f t="shared" si="2"/>
        <v>#REF!</v>
      </c>
      <c r="X21" s="10" t="e">
        <f t="shared" si="3"/>
        <v>#REF!</v>
      </c>
      <c r="Y21" s="10" t="e">
        <f t="shared" si="3"/>
        <v>#REF!</v>
      </c>
      <c r="Z21" s="10" t="e">
        <f t="shared" si="4"/>
        <v>#REF!</v>
      </c>
      <c r="AA21" s="10" t="e">
        <f t="shared" si="8"/>
        <v>#REF!</v>
      </c>
      <c r="AB21" s="10" t="e">
        <f t="shared" si="9"/>
        <v>#REF!</v>
      </c>
      <c r="AC21" s="10" t="e">
        <f t="shared" si="10"/>
        <v>#REF!</v>
      </c>
      <c r="AD21" s="10" t="e">
        <f t="shared" si="11"/>
        <v>#REF!</v>
      </c>
      <c r="AE21" s="10" t="e">
        <f t="shared" si="12"/>
        <v>#REF!</v>
      </c>
      <c r="AF21" s="10" t="e">
        <f t="shared" si="13"/>
        <v>#REF!</v>
      </c>
      <c r="AG21" s="11" t="e">
        <f t="shared" si="14"/>
        <v>#REF!</v>
      </c>
      <c r="AH21" s="10" t="e">
        <f t="shared" si="15"/>
        <v>#REF!</v>
      </c>
      <c r="AI21" s="10" t="e">
        <f t="shared" si="16"/>
        <v>#REF!</v>
      </c>
      <c r="AJ21" s="11" t="e">
        <f t="shared" si="17"/>
        <v>#REF!</v>
      </c>
      <c r="AL21" s="12" t="s">
        <v>23</v>
      </c>
      <c r="AM21" s="13" t="e">
        <f t="shared" si="18"/>
        <v>#REF!</v>
      </c>
      <c r="AP21" s="12" t="s">
        <v>15</v>
      </c>
      <c r="AQ21" s="14" t="e">
        <f t="shared" si="19"/>
        <v>#REF!</v>
      </c>
    </row>
    <row r="22" spans="1:43">
      <c r="A22" s="3" t="s">
        <v>194</v>
      </c>
      <c r="C22" s="15" t="s">
        <v>46</v>
      </c>
      <c r="D22" s="10" t="e">
        <f>SUMIFS(#REF!,#REF!,"2020",#REF!,'App. 1 (App)'!$A22,#REF!,"Loan",#REF!,"OCR")</f>
        <v>#REF!</v>
      </c>
      <c r="E22" s="10" t="e">
        <f>SUMIFS(#REF!,#REF!,"2020",#REF!,'App. 1 (App)'!$A22,#REF!,"Guarantee",#REF!,"OCR")</f>
        <v>#REF!</v>
      </c>
      <c r="F22" s="10" t="e">
        <f>SUMIFS(#REF!,#REF!,"2020",#REF!,'App. 1 (App)'!$A22,#REF!,"Equity",#REF!,"OCR")</f>
        <v>#REF!</v>
      </c>
      <c r="G22" s="10" t="e">
        <f>SUMIFS(#REF!,#REF!,"2020",#REF!,'App. 1 (App)'!$A22,#REF!,"MFP",#REF!,"OCR")</f>
        <v>#REF!</v>
      </c>
      <c r="H22" s="10" t="e">
        <f>SUMIFS(#REF!,#REF!,"2020",#REF!,'App. 1 (App)'!$A22,#REF!,"SCFP",#REF!,"OCR")</f>
        <v>#REF!</v>
      </c>
      <c r="I22" s="10" t="e">
        <f>SUMIFS(#REF!,#REF!,"2020",#REF!,'App. 1 (App)'!$A22,#REF!,"TFP",#REF!,"OCR")</f>
        <v>#REF!</v>
      </c>
      <c r="J22" s="10" t="e">
        <f>SUMIFS(#REF!,#REF!,"2020",#REF!,'App. 1 (App)'!$A22,#REF!,"Loan",#REF!,"ADF")+SUMIFS(#REF!,#REF!,"2020",#REF!,'App. 1 (App)'!$A22,#REF!,"Loan",#REF!,"COL")</f>
        <v>#REF!</v>
      </c>
      <c r="K22" s="10" t="e">
        <f>SUMIFS(#REF!,#REF!,"2020",#REF!,'App. 1 (App)'!$A22,#REF!,"Grant",#REF!,"ADF")</f>
        <v>#REF!</v>
      </c>
      <c r="L22" s="10" t="e">
        <f>SUMIFS(#REF!,#REF!,"2020",#REF!,'App. 1 (App)'!$A22,#REF!,"TA",#REF!,"ADB")</f>
        <v>#REF!</v>
      </c>
      <c r="M22" s="10" t="e">
        <f>SUMIFS(#REF!,#REF!,"2020",#REF!,'App. 1 (App)'!$A22,#REF!,"Grant",#REF!,"Special Fund")</f>
        <v>#REF!</v>
      </c>
      <c r="N22" s="10" t="e">
        <f>SUMIFS(#REF!,#REF!,"2020",#REF!,'App. 1 (App)'!$A22,#REF!,"TA",#REF!,"Special Fund")</f>
        <v>#REF!</v>
      </c>
      <c r="O22" s="11" t="e">
        <f t="shared" si="6"/>
        <v>#REF!</v>
      </c>
      <c r="P22" s="10" t="e">
        <f>SUMIFS(#REF!,#REF!,"2020",#REF!,'App. 1 (App)'!$A22,#REF!,"Official")-Q22+SUMIFS(#REF!,#REF!,"2020",#REF!,'App. 1 (App)'!$A22,#REF!,"Commercial")+SUMIFS(#REF!,#REF!,"2020",#REF!,'App. 1 (App)'!$A22,#REF!,"Other Concessional")</f>
        <v>#REF!</v>
      </c>
      <c r="Q22" s="10" t="e">
        <f>SUMIFS(#REF!,#REF!,"2020",#REF!,'App. 1 (App)'!$A22,#REF!,"TA Cofinancing",#REF!,"Official")+SUMIFS(#REF!,#REF!,"2020",#REF!,'App. 1 (App)'!$A22,#REF!,"TA Cofinancing",#REF!,"Other Concessional")</f>
        <v>#REF!</v>
      </c>
      <c r="R22" s="11" t="e">
        <f t="shared" si="7"/>
        <v>#REF!</v>
      </c>
      <c r="U22" s="15" t="s">
        <v>46</v>
      </c>
      <c r="V22" s="10" t="e">
        <f t="shared" si="1"/>
        <v>#REF!</v>
      </c>
      <c r="W22" s="10" t="e">
        <f t="shared" si="2"/>
        <v>#REF!</v>
      </c>
      <c r="X22" s="10" t="e">
        <f t="shared" si="3"/>
        <v>#REF!</v>
      </c>
      <c r="Y22" s="10" t="e">
        <f t="shared" si="3"/>
        <v>#REF!</v>
      </c>
      <c r="Z22" s="10" t="e">
        <f t="shared" si="4"/>
        <v>#REF!</v>
      </c>
      <c r="AA22" s="10" t="e">
        <f t="shared" si="8"/>
        <v>#REF!</v>
      </c>
      <c r="AB22" s="10" t="e">
        <f t="shared" si="9"/>
        <v>#REF!</v>
      </c>
      <c r="AC22" s="10" t="e">
        <f t="shared" si="10"/>
        <v>#REF!</v>
      </c>
      <c r="AD22" s="10" t="e">
        <f t="shared" si="11"/>
        <v>#REF!</v>
      </c>
      <c r="AE22" s="10" t="e">
        <f t="shared" si="12"/>
        <v>#REF!</v>
      </c>
      <c r="AF22" s="10" t="e">
        <f t="shared" si="13"/>
        <v>#REF!</v>
      </c>
      <c r="AG22" s="16" t="e">
        <f t="shared" si="14"/>
        <v>#REF!</v>
      </c>
      <c r="AH22" s="10" t="e">
        <f t="shared" si="15"/>
        <v>#REF!</v>
      </c>
      <c r="AI22" s="10" t="e">
        <f t="shared" si="16"/>
        <v>#REF!</v>
      </c>
      <c r="AJ22" s="16" t="e">
        <f t="shared" si="17"/>
        <v>#REF!</v>
      </c>
      <c r="AL22" s="12" t="s">
        <v>15</v>
      </c>
      <c r="AM22" s="13" t="e">
        <f t="shared" si="18"/>
        <v>#REF!</v>
      </c>
      <c r="AP22" s="12" t="s">
        <v>35</v>
      </c>
      <c r="AQ22" s="14" t="e">
        <f t="shared" si="19"/>
        <v>#REF!</v>
      </c>
    </row>
    <row r="23" spans="1:43" ht="15">
      <c r="C23" s="6" t="s">
        <v>195</v>
      </c>
      <c r="D23" s="17" t="e">
        <f>SUM(D24:D25)</f>
        <v>#REF!</v>
      </c>
      <c r="E23" s="17" t="e">
        <f t="shared" ref="E23:Q23" si="21">SUM(E24:E25)</f>
        <v>#REF!</v>
      </c>
      <c r="F23" s="17" t="e">
        <f t="shared" si="21"/>
        <v>#REF!</v>
      </c>
      <c r="G23" s="17" t="e">
        <f t="shared" si="21"/>
        <v>#REF!</v>
      </c>
      <c r="H23" s="17" t="e">
        <f t="shared" si="21"/>
        <v>#REF!</v>
      </c>
      <c r="I23" s="17" t="e">
        <f t="shared" si="21"/>
        <v>#REF!</v>
      </c>
      <c r="J23" s="17" t="e">
        <f t="shared" si="21"/>
        <v>#REF!</v>
      </c>
      <c r="K23" s="17" t="e">
        <f t="shared" si="21"/>
        <v>#REF!</v>
      </c>
      <c r="L23" s="17" t="e">
        <f t="shared" si="21"/>
        <v>#REF!</v>
      </c>
      <c r="M23" s="17" t="e">
        <f t="shared" si="21"/>
        <v>#REF!</v>
      </c>
      <c r="N23" s="17" t="e">
        <f t="shared" si="21"/>
        <v>#REF!</v>
      </c>
      <c r="O23" s="7" t="e">
        <f t="shared" si="6"/>
        <v>#REF!</v>
      </c>
      <c r="P23" s="17" t="e">
        <f t="shared" si="21"/>
        <v>#REF!</v>
      </c>
      <c r="Q23" s="17" t="e">
        <f t="shared" si="21"/>
        <v>#REF!</v>
      </c>
      <c r="R23" s="7" t="e">
        <f t="shared" si="7"/>
        <v>#REF!</v>
      </c>
      <c r="U23" s="6" t="s">
        <v>195</v>
      </c>
      <c r="V23" s="17" t="e">
        <f t="shared" si="1"/>
        <v>#REF!</v>
      </c>
      <c r="W23" s="17" t="e">
        <f t="shared" si="2"/>
        <v>#REF!</v>
      </c>
      <c r="X23" s="17" t="e">
        <f t="shared" si="3"/>
        <v>#REF!</v>
      </c>
      <c r="Y23" s="17" t="e">
        <f t="shared" si="3"/>
        <v>#REF!</v>
      </c>
      <c r="Z23" s="17" t="e">
        <f t="shared" si="4"/>
        <v>#REF!</v>
      </c>
      <c r="AA23" s="17" t="e">
        <f t="shared" si="8"/>
        <v>#REF!</v>
      </c>
      <c r="AB23" s="17" t="e">
        <f t="shared" si="9"/>
        <v>#REF!</v>
      </c>
      <c r="AC23" s="17" t="e">
        <f t="shared" si="10"/>
        <v>#REF!</v>
      </c>
      <c r="AD23" s="17" t="e">
        <f t="shared" si="11"/>
        <v>#REF!</v>
      </c>
      <c r="AE23" s="17" t="e">
        <f t="shared" si="12"/>
        <v>#REF!</v>
      </c>
      <c r="AF23" s="17" t="e">
        <f t="shared" si="13"/>
        <v>#REF!</v>
      </c>
      <c r="AG23" s="7" t="e">
        <f t="shared" si="14"/>
        <v>#REF!</v>
      </c>
      <c r="AH23" s="17" t="e">
        <f t="shared" si="15"/>
        <v>#REF!</v>
      </c>
      <c r="AI23" s="17" t="e">
        <f t="shared" si="16"/>
        <v>#REF!</v>
      </c>
      <c r="AJ23" s="7" t="e">
        <f t="shared" si="17"/>
        <v>#REF!</v>
      </c>
      <c r="AL23" s="12" t="s">
        <v>35</v>
      </c>
      <c r="AM23" s="13" t="e">
        <f t="shared" si="18"/>
        <v>#REF!</v>
      </c>
      <c r="AP23" s="12" t="s">
        <v>47</v>
      </c>
      <c r="AQ23" s="14" t="e">
        <f t="shared" si="19"/>
        <v>#REF!</v>
      </c>
    </row>
    <row r="24" spans="1:43">
      <c r="A24" s="3" t="s">
        <v>196</v>
      </c>
      <c r="C24" s="9" t="s">
        <v>18</v>
      </c>
      <c r="D24" s="10" t="e">
        <f>SUMIFS(#REF!,#REF!,"2020",#REF!,'App. 1 (App)'!$A24,#REF!,"Loan",#REF!,"OCR")</f>
        <v>#REF!</v>
      </c>
      <c r="E24" s="10" t="e">
        <f>SUMIFS(#REF!,#REF!,"2020",#REF!,'App. 1 (App)'!$A24,#REF!,"Guarantee",#REF!,"OCR")</f>
        <v>#REF!</v>
      </c>
      <c r="F24" s="10" t="e">
        <f>SUMIFS(#REF!,#REF!,"2020",#REF!,'App. 1 (App)'!$A24,#REF!,"Equity",#REF!,"OCR")</f>
        <v>#REF!</v>
      </c>
      <c r="G24" s="10" t="e">
        <f>SUMIFS(#REF!,#REF!,"2020",#REF!,'App. 1 (App)'!$A24,#REF!,"MFP",#REF!,"OCR")</f>
        <v>#REF!</v>
      </c>
      <c r="H24" s="10" t="e">
        <f>SUMIFS(#REF!,#REF!,"2020",#REF!,'App. 1 (App)'!$A24,#REF!,"SCFP",#REF!,"OCR")</f>
        <v>#REF!</v>
      </c>
      <c r="I24" s="10" t="e">
        <f>SUMIFS(#REF!,#REF!,"2020",#REF!,'App. 1 (App)'!$A24,#REF!,"TFP",#REF!,"OCR")</f>
        <v>#REF!</v>
      </c>
      <c r="J24" s="10" t="e">
        <f>SUMIFS(#REF!,#REF!,"2020",#REF!,'App. 1 (App)'!$A24,#REF!,"Loan",#REF!,"ADF")+SUMIFS(#REF!,#REF!,"2020",#REF!,'App. 1 (App)'!$A24,#REF!,"Loan",#REF!,"COL")</f>
        <v>#REF!</v>
      </c>
      <c r="K24" s="10" t="e">
        <f>SUMIFS(#REF!,#REF!,"2020",#REF!,'App. 1 (App)'!$A24,#REF!,"Grant",#REF!,"ADF")</f>
        <v>#REF!</v>
      </c>
      <c r="L24" s="10" t="e">
        <f>SUMIFS(#REF!,#REF!,"2020",#REF!,'App. 1 (App)'!$A24,#REF!,"TA",#REF!,"ADB")</f>
        <v>#REF!</v>
      </c>
      <c r="M24" s="10" t="e">
        <f>SUMIFS(#REF!,#REF!,"2020",#REF!,'App. 1 (App)'!$A24,#REF!,"Grant",#REF!,"Special Fund")</f>
        <v>#REF!</v>
      </c>
      <c r="N24" s="10" t="e">
        <f>SUMIFS(#REF!,#REF!,"2020",#REF!,'App. 1 (App)'!$A24,#REF!,"TA",#REF!,"Special Fund")</f>
        <v>#REF!</v>
      </c>
      <c r="O24" s="11" t="e">
        <f t="shared" si="6"/>
        <v>#REF!</v>
      </c>
      <c r="P24" s="10" t="e">
        <f>SUMIFS(#REF!,#REF!,"2020",#REF!,'App. 1 (App)'!$A24,#REF!,"Official")-Q24+SUMIFS(#REF!,#REF!,"2020",#REF!,'App. 1 (App)'!$A24,#REF!,"Commercial")+SUMIFS(#REF!,#REF!,"2020",#REF!,'App. 1 (App)'!$A24,#REF!,"Other Concessional")</f>
        <v>#REF!</v>
      </c>
      <c r="Q24" s="10" t="e">
        <f>SUMIFS(#REF!,#REF!,"2020",#REF!,'App. 1 (App)'!$A24,#REF!,"TA Cofinancing",#REF!,"Official")+SUMIFS(#REF!,#REF!,"2020",#REF!,'App. 1 (App)'!$A24,#REF!,"TA Cofinancing",#REF!,"Other Concessional")</f>
        <v>#REF!</v>
      </c>
      <c r="R24" s="11" t="e">
        <f t="shared" si="7"/>
        <v>#REF!</v>
      </c>
      <c r="U24" s="9" t="s">
        <v>18</v>
      </c>
      <c r="V24" s="10" t="e">
        <f t="shared" si="1"/>
        <v>#REF!</v>
      </c>
      <c r="W24" s="10" t="e">
        <f t="shared" si="2"/>
        <v>#REF!</v>
      </c>
      <c r="X24" s="10" t="e">
        <f t="shared" si="3"/>
        <v>#REF!</v>
      </c>
      <c r="Y24" s="10" t="e">
        <f t="shared" si="3"/>
        <v>#REF!</v>
      </c>
      <c r="Z24" s="10" t="e">
        <f t="shared" si="4"/>
        <v>#REF!</v>
      </c>
      <c r="AA24" s="10" t="e">
        <f t="shared" si="8"/>
        <v>#REF!</v>
      </c>
      <c r="AB24" s="10" t="e">
        <f t="shared" si="9"/>
        <v>#REF!</v>
      </c>
      <c r="AC24" s="10" t="e">
        <f t="shared" si="10"/>
        <v>#REF!</v>
      </c>
      <c r="AD24" s="10" t="e">
        <f t="shared" si="11"/>
        <v>#REF!</v>
      </c>
      <c r="AE24" s="10" t="e">
        <f t="shared" si="12"/>
        <v>#REF!</v>
      </c>
      <c r="AF24" s="10" t="e">
        <f t="shared" si="13"/>
        <v>#REF!</v>
      </c>
      <c r="AG24" s="11" t="e">
        <f t="shared" si="14"/>
        <v>#REF!</v>
      </c>
      <c r="AH24" s="10" t="e">
        <f t="shared" si="15"/>
        <v>#REF!</v>
      </c>
      <c r="AI24" s="10" t="e">
        <f t="shared" si="16"/>
        <v>#REF!</v>
      </c>
      <c r="AJ24" s="11" t="e">
        <f t="shared" si="17"/>
        <v>#REF!</v>
      </c>
      <c r="AL24" s="12" t="s">
        <v>47</v>
      </c>
      <c r="AM24" s="13" t="e">
        <f t="shared" si="18"/>
        <v>#REF!</v>
      </c>
      <c r="AP24" s="12" t="s">
        <v>5</v>
      </c>
      <c r="AQ24" s="14" t="e">
        <f t="shared" si="19"/>
        <v>#REF!</v>
      </c>
    </row>
    <row r="25" spans="1:43">
      <c r="A25" s="3" t="s">
        <v>197</v>
      </c>
      <c r="C25" s="15" t="s">
        <v>35</v>
      </c>
      <c r="D25" s="10" t="e">
        <f>SUMIFS(#REF!,#REF!,"2020",#REF!,'App. 1 (App)'!$A25,#REF!,"Loan",#REF!,"OCR")</f>
        <v>#REF!</v>
      </c>
      <c r="E25" s="10" t="e">
        <f>SUMIFS(#REF!,#REF!,"2020",#REF!,'App. 1 (App)'!$A25,#REF!,"Guarantee",#REF!,"OCR")</f>
        <v>#REF!</v>
      </c>
      <c r="F25" s="10" t="e">
        <f>SUMIFS(#REF!,#REF!,"2020",#REF!,'App. 1 (App)'!$A25,#REF!,"Equity",#REF!,"OCR")</f>
        <v>#REF!</v>
      </c>
      <c r="G25" s="10" t="e">
        <f>SUMIFS(#REF!,#REF!,"2020",#REF!,'App. 1 (App)'!$A25,#REF!,"MFP",#REF!,"OCR")</f>
        <v>#REF!</v>
      </c>
      <c r="H25" s="10" t="e">
        <f>SUMIFS(#REF!,#REF!,"2020",#REF!,'App. 1 (App)'!$A25,#REF!,"SCFP",#REF!,"OCR")</f>
        <v>#REF!</v>
      </c>
      <c r="I25" s="10" t="e">
        <f>SUMIFS(#REF!,#REF!,"2020",#REF!,'App. 1 (App)'!$A25,#REF!,"TFP",#REF!,"OCR")</f>
        <v>#REF!</v>
      </c>
      <c r="J25" s="10" t="e">
        <f>SUMIFS(#REF!,#REF!,"2020",#REF!,'App. 1 (App)'!$A25,#REF!,"Loan",#REF!,"ADF")+SUMIFS(#REF!,#REF!,"2020",#REF!,'App. 1 (App)'!$A25,#REF!,"Loan",#REF!,"COL")</f>
        <v>#REF!</v>
      </c>
      <c r="K25" s="10" t="e">
        <f>SUMIFS(#REF!,#REF!,"2020",#REF!,'App. 1 (App)'!$A25,#REF!,"Grant",#REF!,"ADF")</f>
        <v>#REF!</v>
      </c>
      <c r="L25" s="10" t="e">
        <f>SUMIFS(#REF!,#REF!,"2020",#REF!,'App. 1 (App)'!$A25,#REF!,"TA",#REF!,"ADB")</f>
        <v>#REF!</v>
      </c>
      <c r="M25" s="10" t="e">
        <f>SUMIFS(#REF!,#REF!,"2020",#REF!,'App. 1 (App)'!$A25,#REF!,"Grant",#REF!,"Special Fund")</f>
        <v>#REF!</v>
      </c>
      <c r="N25" s="10" t="e">
        <f>SUMIFS(#REF!,#REF!,"2020",#REF!,'App. 1 (App)'!$A25,#REF!,"TA",#REF!,"Special Fund")</f>
        <v>#REF!</v>
      </c>
      <c r="O25" s="11" t="e">
        <f t="shared" si="6"/>
        <v>#REF!</v>
      </c>
      <c r="P25" s="10" t="e">
        <f>SUMIFS(#REF!,#REF!,"2020",#REF!,'App. 1 (App)'!$A25,#REF!,"Official")-Q25+SUMIFS(#REF!,#REF!,"2020",#REF!,'App. 1 (App)'!$A25,#REF!,"Commercial")+SUMIFS(#REF!,#REF!,"2020",#REF!,'App. 1 (App)'!$A25,#REF!,"Other Concessional")</f>
        <v>#REF!</v>
      </c>
      <c r="Q25" s="10" t="e">
        <f>SUMIFS(#REF!,#REF!,"2020",#REF!,'App. 1 (App)'!$A25,#REF!,"TA Cofinancing",#REF!,"Official")+SUMIFS(#REF!,#REF!,"2020",#REF!,'App. 1 (App)'!$A25,#REF!,"TA Cofinancing",#REF!,"Other Concessional")</f>
        <v>#REF!</v>
      </c>
      <c r="R25" s="11" t="e">
        <f t="shared" si="7"/>
        <v>#REF!</v>
      </c>
      <c r="U25" s="15" t="s">
        <v>35</v>
      </c>
      <c r="V25" s="10" t="e">
        <f t="shared" si="1"/>
        <v>#REF!</v>
      </c>
      <c r="W25" s="10" t="e">
        <f t="shared" si="2"/>
        <v>#REF!</v>
      </c>
      <c r="X25" s="10" t="e">
        <f t="shared" si="3"/>
        <v>#REF!</v>
      </c>
      <c r="Y25" s="10" t="e">
        <f t="shared" si="3"/>
        <v>#REF!</v>
      </c>
      <c r="Z25" s="10" t="e">
        <f t="shared" si="4"/>
        <v>#REF!</v>
      </c>
      <c r="AA25" s="10" t="e">
        <f t="shared" si="8"/>
        <v>#REF!</v>
      </c>
      <c r="AB25" s="10" t="e">
        <f t="shared" si="9"/>
        <v>#REF!</v>
      </c>
      <c r="AC25" s="10" t="e">
        <f t="shared" si="10"/>
        <v>#REF!</v>
      </c>
      <c r="AD25" s="10" t="e">
        <f t="shared" si="11"/>
        <v>#REF!</v>
      </c>
      <c r="AE25" s="10" t="e">
        <f t="shared" si="12"/>
        <v>#REF!</v>
      </c>
      <c r="AF25" s="10" t="e">
        <f t="shared" si="13"/>
        <v>#REF!</v>
      </c>
      <c r="AG25" s="16" t="e">
        <f t="shared" si="14"/>
        <v>#REF!</v>
      </c>
      <c r="AH25" s="10" t="e">
        <f t="shared" si="15"/>
        <v>#REF!</v>
      </c>
      <c r="AI25" s="10" t="e">
        <f t="shared" si="16"/>
        <v>#REF!</v>
      </c>
      <c r="AJ25" s="16" t="e">
        <f t="shared" si="17"/>
        <v>#REF!</v>
      </c>
      <c r="AL25" s="12" t="s">
        <v>5</v>
      </c>
      <c r="AM25" s="13" t="e">
        <f t="shared" si="18"/>
        <v>#REF!</v>
      </c>
      <c r="AP25" s="12" t="s">
        <v>22</v>
      </c>
      <c r="AQ25" s="14" t="e">
        <f t="shared" si="19"/>
        <v>#REF!</v>
      </c>
    </row>
    <row r="26" spans="1:43" ht="15">
      <c r="C26" s="6" t="s">
        <v>198</v>
      </c>
      <c r="D26" s="17" t="e">
        <f t="shared" ref="D26:N26" si="22">SUM(D27:D41)</f>
        <v>#REF!</v>
      </c>
      <c r="E26" s="17" t="e">
        <f t="shared" si="22"/>
        <v>#REF!</v>
      </c>
      <c r="F26" s="17" t="e">
        <f t="shared" si="22"/>
        <v>#REF!</v>
      </c>
      <c r="G26" s="17" t="e">
        <f t="shared" si="22"/>
        <v>#REF!</v>
      </c>
      <c r="H26" s="17" t="e">
        <f t="shared" si="22"/>
        <v>#REF!</v>
      </c>
      <c r="I26" s="17" t="e">
        <f t="shared" si="22"/>
        <v>#REF!</v>
      </c>
      <c r="J26" s="17" t="e">
        <f t="shared" si="22"/>
        <v>#REF!</v>
      </c>
      <c r="K26" s="17" t="e">
        <f t="shared" si="22"/>
        <v>#REF!</v>
      </c>
      <c r="L26" s="17" t="e">
        <f>SUM(L27:L41)</f>
        <v>#REF!</v>
      </c>
      <c r="M26" s="17" t="e">
        <f t="shared" si="22"/>
        <v>#REF!</v>
      </c>
      <c r="N26" s="17" t="e">
        <f t="shared" si="22"/>
        <v>#REF!</v>
      </c>
      <c r="O26" s="7" t="e">
        <f>SUM(D26:N26)</f>
        <v>#REF!</v>
      </c>
      <c r="P26" s="17" t="e">
        <f>SUM(P27:P41)</f>
        <v>#REF!</v>
      </c>
      <c r="Q26" s="17" t="e">
        <f>SUM(Q27:Q41)</f>
        <v>#REF!</v>
      </c>
      <c r="R26" s="7" t="e">
        <f>SUM(O26:Q26)</f>
        <v>#REF!</v>
      </c>
      <c r="U26" s="6" t="s">
        <v>198</v>
      </c>
      <c r="V26" s="17" t="e">
        <f t="shared" si="1"/>
        <v>#REF!</v>
      </c>
      <c r="W26" s="17" t="e">
        <f t="shared" si="2"/>
        <v>#REF!</v>
      </c>
      <c r="X26" s="17" t="e">
        <f t="shared" si="3"/>
        <v>#REF!</v>
      </c>
      <c r="Y26" s="17" t="e">
        <f t="shared" si="3"/>
        <v>#REF!</v>
      </c>
      <c r="Z26" s="17" t="e">
        <f t="shared" si="4"/>
        <v>#REF!</v>
      </c>
      <c r="AA26" s="17" t="e">
        <f t="shared" si="8"/>
        <v>#REF!</v>
      </c>
      <c r="AB26" s="17" t="e">
        <f t="shared" si="9"/>
        <v>#REF!</v>
      </c>
      <c r="AC26" s="17" t="e">
        <f t="shared" si="10"/>
        <v>#REF!</v>
      </c>
      <c r="AD26" s="17" t="e">
        <f t="shared" si="11"/>
        <v>#REF!</v>
      </c>
      <c r="AE26" s="17" t="e">
        <f t="shared" si="12"/>
        <v>#REF!</v>
      </c>
      <c r="AF26" s="17" t="e">
        <f t="shared" si="13"/>
        <v>#REF!</v>
      </c>
      <c r="AG26" s="7" t="e">
        <f t="shared" si="14"/>
        <v>#REF!</v>
      </c>
      <c r="AH26" s="17" t="e">
        <f t="shared" si="15"/>
        <v>#REF!</v>
      </c>
      <c r="AI26" s="17" t="e">
        <f t="shared" si="16"/>
        <v>#REF!</v>
      </c>
      <c r="AJ26" s="7" t="e">
        <f t="shared" si="17"/>
        <v>#REF!</v>
      </c>
      <c r="AL26" s="12" t="s">
        <v>22</v>
      </c>
      <c r="AM26" s="13" t="e">
        <f t="shared" si="18"/>
        <v>#REF!</v>
      </c>
      <c r="AP26" s="3" t="s">
        <v>55</v>
      </c>
      <c r="AQ26" s="14" t="e">
        <f t="shared" si="19"/>
        <v>#REF!</v>
      </c>
    </row>
    <row r="27" spans="1:43">
      <c r="A27" s="3" t="s">
        <v>199</v>
      </c>
      <c r="C27" s="9" t="s">
        <v>20</v>
      </c>
      <c r="D27" s="10" t="e">
        <f>SUMIFS(#REF!,#REF!,"2020",#REF!,'App. 1 (App)'!$A27,#REF!,"Loan",#REF!,"OCR")</f>
        <v>#REF!</v>
      </c>
      <c r="E27" s="10" t="e">
        <f>SUMIFS(#REF!,#REF!,"2020",#REF!,'App. 1 (App)'!$A27,#REF!,"Guarantee",#REF!,"OCR")</f>
        <v>#REF!</v>
      </c>
      <c r="F27" s="10" t="e">
        <f>SUMIFS(#REF!,#REF!,"2020",#REF!,'App. 1 (App)'!$A27,#REF!,"Equity",#REF!,"OCR")</f>
        <v>#REF!</v>
      </c>
      <c r="G27" s="10" t="e">
        <f>SUMIFS(#REF!,#REF!,"2020",#REF!,'App. 1 (App)'!$A27,#REF!,"MFP",#REF!,"OCR")</f>
        <v>#REF!</v>
      </c>
      <c r="H27" s="10" t="e">
        <f>SUMIFS(#REF!,#REF!,"2020",#REF!,'App. 1 (App)'!$A27,#REF!,"SCFP",#REF!,"OCR")</f>
        <v>#REF!</v>
      </c>
      <c r="I27" s="10" t="e">
        <f>SUMIFS(#REF!,#REF!,"2020",#REF!,'App. 1 (App)'!$A27,#REF!,"TFP",#REF!,"OCR")</f>
        <v>#REF!</v>
      </c>
      <c r="J27" s="10" t="e">
        <f>SUMIFS(#REF!,#REF!,"2020",#REF!,'App. 1 (App)'!$A27,#REF!,"Loan",#REF!,"ADF")+SUMIFS(#REF!,#REF!,"2020",#REF!,'App. 1 (App)'!$A27,#REF!,"Loan",#REF!,"COL")</f>
        <v>#REF!</v>
      </c>
      <c r="K27" s="10" t="e">
        <f>SUMIFS(#REF!,#REF!,"2020",#REF!,'App. 1 (App)'!$A27,#REF!,"Grant",#REF!,"ADF")</f>
        <v>#REF!</v>
      </c>
      <c r="L27" s="10" t="e">
        <f>SUMIFS(#REF!,#REF!,"2020",#REF!,'App. 1 (App)'!$A27,#REF!,"TA",#REF!,"ADB")</f>
        <v>#REF!</v>
      </c>
      <c r="M27" s="10" t="e">
        <f>SUMIFS(#REF!,#REF!,"2020",#REF!,'App. 1 (App)'!$A27,#REF!,"Grant",#REF!,"Special Fund")</f>
        <v>#REF!</v>
      </c>
      <c r="N27" s="10" t="e">
        <f>SUMIFS(#REF!,#REF!,"2020",#REF!,'App. 1 (App)'!$A27,#REF!,"TA",#REF!,"Special Fund")</f>
        <v>#REF!</v>
      </c>
      <c r="O27" s="11" t="e">
        <f t="shared" si="6"/>
        <v>#REF!</v>
      </c>
      <c r="P27" s="10" t="e">
        <f>SUMIFS(#REF!,#REF!,"2020",#REF!,'App. 1 (App)'!$A27,#REF!,"Official")-Q27+SUMIFS(#REF!,#REF!,"2020",#REF!,'App. 1 (App)'!$A27,#REF!,"Commercial")+SUMIFS(#REF!,#REF!,"2020",#REF!,'App. 1 (App)'!$A27,#REF!,"Other Concessional")</f>
        <v>#REF!</v>
      </c>
      <c r="Q27" s="10" t="e">
        <f>SUMIFS(#REF!,#REF!,"2020",#REF!,'App. 1 (App)'!$A27,#REF!,"TA Cofinancing",#REF!,"Official")+SUMIFS(#REF!,#REF!,"2020",#REF!,'App. 1 (App)'!$A27,#REF!,"TA Cofinancing",#REF!,"Other Concessional")</f>
        <v>#REF!</v>
      </c>
      <c r="R27" s="11" t="e">
        <f t="shared" si="7"/>
        <v>#REF!</v>
      </c>
      <c r="U27" s="9" t="s">
        <v>20</v>
      </c>
      <c r="V27" s="10" t="e">
        <f t="shared" si="1"/>
        <v>#REF!</v>
      </c>
      <c r="W27" s="10" t="e">
        <f t="shared" si="2"/>
        <v>#REF!</v>
      </c>
      <c r="X27" s="10" t="e">
        <f t="shared" si="3"/>
        <v>#REF!</v>
      </c>
      <c r="Y27" s="10" t="e">
        <f t="shared" si="3"/>
        <v>#REF!</v>
      </c>
      <c r="Z27" s="10" t="e">
        <f t="shared" si="4"/>
        <v>#REF!</v>
      </c>
      <c r="AA27" s="10" t="e">
        <f t="shared" si="8"/>
        <v>#REF!</v>
      </c>
      <c r="AB27" s="10" t="e">
        <f t="shared" si="9"/>
        <v>#REF!</v>
      </c>
      <c r="AC27" s="10" t="e">
        <f t="shared" si="10"/>
        <v>#REF!</v>
      </c>
      <c r="AD27" s="10" t="e">
        <f t="shared" si="11"/>
        <v>#REF!</v>
      </c>
      <c r="AE27" s="10" t="e">
        <f t="shared" si="12"/>
        <v>#REF!</v>
      </c>
      <c r="AF27" s="10" t="e">
        <f t="shared" si="13"/>
        <v>#REF!</v>
      </c>
      <c r="AG27" s="11" t="e">
        <f t="shared" si="14"/>
        <v>#REF!</v>
      </c>
      <c r="AH27" s="10" t="e">
        <f t="shared" si="15"/>
        <v>#REF!</v>
      </c>
      <c r="AI27" s="10" t="e">
        <f t="shared" si="16"/>
        <v>#REF!</v>
      </c>
      <c r="AJ27" s="11" t="e">
        <f t="shared" si="17"/>
        <v>#REF!</v>
      </c>
      <c r="AL27" s="12" t="s">
        <v>33</v>
      </c>
      <c r="AM27" s="13" t="e">
        <f t="shared" si="18"/>
        <v>#REF!</v>
      </c>
      <c r="AP27" s="12" t="s">
        <v>33</v>
      </c>
      <c r="AQ27" s="14" t="e">
        <f t="shared" si="19"/>
        <v>#REF!</v>
      </c>
    </row>
    <row r="28" spans="1:43">
      <c r="A28" s="3" t="s">
        <v>200</v>
      </c>
      <c r="C28" s="9" t="s">
        <v>21</v>
      </c>
      <c r="D28" s="10" t="e">
        <f>SUMIFS(#REF!,#REF!,"2020",#REF!,'App. 1 (App)'!$A28,#REF!,"Loan",#REF!,"OCR")</f>
        <v>#REF!</v>
      </c>
      <c r="E28" s="10" t="e">
        <f>SUMIFS(#REF!,#REF!,"2020",#REF!,'App. 1 (App)'!$A28,#REF!,"Guarantee",#REF!,"OCR")</f>
        <v>#REF!</v>
      </c>
      <c r="F28" s="10" t="e">
        <f>SUMIFS(#REF!,#REF!,"2020",#REF!,'App. 1 (App)'!$A28,#REF!,"Equity",#REF!,"OCR")</f>
        <v>#REF!</v>
      </c>
      <c r="G28" s="10" t="e">
        <f>SUMIFS(#REF!,#REF!,"2020",#REF!,'App. 1 (App)'!$A28,#REF!,"MFP",#REF!,"OCR")</f>
        <v>#REF!</v>
      </c>
      <c r="H28" s="10" t="e">
        <f>SUMIFS(#REF!,#REF!,"2020",#REF!,'App. 1 (App)'!$A28,#REF!,"SCFP",#REF!,"OCR")</f>
        <v>#REF!</v>
      </c>
      <c r="I28" s="10" t="e">
        <f>SUMIFS(#REF!,#REF!,"2020",#REF!,'App. 1 (App)'!$A28,#REF!,"TFP",#REF!,"OCR")</f>
        <v>#REF!</v>
      </c>
      <c r="J28" s="10" t="e">
        <f>SUMIFS(#REF!,#REF!,"2020",#REF!,'App. 1 (App)'!$A28,#REF!,"Loan",#REF!,"ADF")+SUMIFS(#REF!,#REF!,"2020",#REF!,'App. 1 (App)'!$A28,#REF!,"Loan",#REF!,"COL")</f>
        <v>#REF!</v>
      </c>
      <c r="K28" s="10" t="e">
        <f>SUMIFS(#REF!,#REF!,"2020",#REF!,'App. 1 (App)'!$A28,#REF!,"Grant",#REF!,"ADF")</f>
        <v>#REF!</v>
      </c>
      <c r="L28" s="10" t="e">
        <f>SUMIFS(#REF!,#REF!,"2020",#REF!,'App. 1 (App)'!$A28,#REF!,"TA",#REF!,"ADB")</f>
        <v>#REF!</v>
      </c>
      <c r="M28" s="10" t="e">
        <f>SUMIFS(#REF!,#REF!,"2020",#REF!,'App. 1 (App)'!$A28,#REF!,"Grant",#REF!,"Special Fund")</f>
        <v>#REF!</v>
      </c>
      <c r="N28" s="10" t="e">
        <f>SUMIFS(#REF!,#REF!,"2020",#REF!,'App. 1 (App)'!$A28,#REF!,"TA",#REF!,"Special Fund")</f>
        <v>#REF!</v>
      </c>
      <c r="O28" s="11" t="e">
        <f t="shared" si="6"/>
        <v>#REF!</v>
      </c>
      <c r="P28" s="10" t="e">
        <f>SUMIFS(#REF!,#REF!,"2020",#REF!,'App. 1 (App)'!$A28,#REF!,"Official")-Q28+SUMIFS(#REF!,#REF!,"2020",#REF!,'App. 1 (App)'!$A28,#REF!,"Commercial")+SUMIFS(#REF!,#REF!,"2020",#REF!,'App. 1 (App)'!$A28,#REF!,"Other Concessional")</f>
        <v>#REF!</v>
      </c>
      <c r="Q28" s="10" t="e">
        <f>SUMIFS(#REF!,#REF!,"2020",#REF!,'App. 1 (App)'!$A28,#REF!,"TA Cofinancing",#REF!,"Official")+SUMIFS(#REF!,#REF!,"2020",#REF!,'App. 1 (App)'!$A28,#REF!,"TA Cofinancing",#REF!,"Other Concessional")</f>
        <v>#REF!</v>
      </c>
      <c r="R28" s="11" t="e">
        <f t="shared" si="7"/>
        <v>#REF!</v>
      </c>
      <c r="U28" s="9" t="s">
        <v>21</v>
      </c>
      <c r="V28" s="10" t="e">
        <f t="shared" si="1"/>
        <v>#REF!</v>
      </c>
      <c r="W28" s="10" t="e">
        <f t="shared" si="2"/>
        <v>#REF!</v>
      </c>
      <c r="X28" s="10" t="e">
        <f t="shared" si="3"/>
        <v>#REF!</v>
      </c>
      <c r="Y28" s="10" t="e">
        <f t="shared" si="3"/>
        <v>#REF!</v>
      </c>
      <c r="Z28" s="10" t="e">
        <f t="shared" si="4"/>
        <v>#REF!</v>
      </c>
      <c r="AA28" s="10" t="e">
        <f t="shared" si="8"/>
        <v>#REF!</v>
      </c>
      <c r="AB28" s="10" t="e">
        <f t="shared" ref="AB28:AJ53" si="23">J28</f>
        <v>#REF!</v>
      </c>
      <c r="AC28" s="10" t="e">
        <f t="shared" si="23"/>
        <v>#REF!</v>
      </c>
      <c r="AD28" s="10" t="e">
        <f t="shared" si="23"/>
        <v>#REF!</v>
      </c>
      <c r="AE28" s="10" t="e">
        <f t="shared" si="23"/>
        <v>#REF!</v>
      </c>
      <c r="AF28" s="10" t="e">
        <f t="shared" si="23"/>
        <v>#REF!</v>
      </c>
      <c r="AG28" s="11" t="e">
        <f t="shared" si="23"/>
        <v>#REF!</v>
      </c>
      <c r="AH28" s="10" t="e">
        <f t="shared" si="23"/>
        <v>#REF!</v>
      </c>
      <c r="AI28" s="10" t="e">
        <f t="shared" si="23"/>
        <v>#REF!</v>
      </c>
      <c r="AJ28" s="11" t="e">
        <f t="shared" si="23"/>
        <v>#REF!</v>
      </c>
      <c r="AL28" s="12" t="s">
        <v>7</v>
      </c>
      <c r="AM28" s="13" t="e">
        <f t="shared" si="18"/>
        <v>#REF!</v>
      </c>
      <c r="AP28" s="12" t="s">
        <v>14</v>
      </c>
      <c r="AQ28" s="14" t="e">
        <f t="shared" si="19"/>
        <v>#REF!</v>
      </c>
    </row>
    <row r="29" spans="1:43">
      <c r="A29" s="3" t="s">
        <v>201</v>
      </c>
      <c r="C29" s="9" t="s">
        <v>202</v>
      </c>
      <c r="D29" s="10" t="e">
        <f>SUMIFS(#REF!,#REF!,"2020",#REF!,'App. 1 (App)'!$A29,#REF!,"Loan",#REF!,"OCR")</f>
        <v>#REF!</v>
      </c>
      <c r="E29" s="10" t="e">
        <f>SUMIFS(#REF!,#REF!,"2020",#REF!,'App. 1 (App)'!$A29,#REF!,"Guarantee",#REF!,"OCR")</f>
        <v>#REF!</v>
      </c>
      <c r="F29" s="10" t="e">
        <f>SUMIFS(#REF!,#REF!,"2020",#REF!,'App. 1 (App)'!$A29,#REF!,"Equity",#REF!,"OCR")</f>
        <v>#REF!</v>
      </c>
      <c r="G29" s="10" t="e">
        <f>SUMIFS(#REF!,#REF!,"2020",#REF!,'App. 1 (App)'!$A29,#REF!,"MFP",#REF!,"OCR")</f>
        <v>#REF!</v>
      </c>
      <c r="H29" s="10" t="e">
        <f>SUMIFS(#REF!,#REF!,"2020",#REF!,'App. 1 (App)'!$A29,#REF!,"SCFP",#REF!,"OCR")</f>
        <v>#REF!</v>
      </c>
      <c r="I29" s="10" t="e">
        <f>SUMIFS(#REF!,#REF!,"2020",#REF!,'App. 1 (App)'!$A29,#REF!,"TFP",#REF!,"OCR")</f>
        <v>#REF!</v>
      </c>
      <c r="J29" s="10" t="e">
        <f>SUMIFS(#REF!,#REF!,"2020",#REF!,'App. 1 (App)'!$A29,#REF!,"Loan",#REF!,"ADF")+SUMIFS(#REF!,#REF!,"2020",#REF!,'App. 1 (App)'!$A29,#REF!,"Loan",#REF!,"COL")</f>
        <v>#REF!</v>
      </c>
      <c r="K29" s="10" t="e">
        <f>SUMIFS(#REF!,#REF!,"2020",#REF!,'App. 1 (App)'!$A29,#REF!,"Grant",#REF!,"ADF")</f>
        <v>#REF!</v>
      </c>
      <c r="L29" s="10" t="e">
        <f>SUMIFS(#REF!,#REF!,"2020",#REF!,'App. 1 (App)'!$A29,#REF!,"TA",#REF!,"ADB")</f>
        <v>#REF!</v>
      </c>
      <c r="M29" s="10" t="e">
        <f>SUMIFS(#REF!,#REF!,"2020",#REF!,'App. 1 (App)'!$A29,#REF!,"Grant",#REF!,"Special Fund")</f>
        <v>#REF!</v>
      </c>
      <c r="N29" s="10" t="e">
        <f>SUMIFS(#REF!,#REF!,"2020",#REF!,'App. 1 (App)'!$A29,#REF!,"TA",#REF!,"Special Fund")</f>
        <v>#REF!</v>
      </c>
      <c r="O29" s="11" t="e">
        <f t="shared" si="6"/>
        <v>#REF!</v>
      </c>
      <c r="P29" s="10" t="e">
        <f>SUMIFS(#REF!,#REF!,"2020",#REF!,'App. 1 (App)'!$A29,#REF!,"Official")-Q29+SUMIFS(#REF!,#REF!,"2020",#REF!,'App. 1 (App)'!$A29,#REF!,"Commercial")+SUMIFS(#REF!,#REF!,"2020",#REF!,'App. 1 (App)'!$A29,#REF!,"Other Concessional")</f>
        <v>#REF!</v>
      </c>
      <c r="Q29" s="10" t="e">
        <f>SUMIFS(#REF!,#REF!,"2020",#REF!,'App. 1 (App)'!$A29,#REF!,"TA Cofinancing",#REF!,"Official")+SUMIFS(#REF!,#REF!,"2020",#REF!,'App. 1 (App)'!$A29,#REF!,"TA Cofinancing",#REF!,"Other Concessional")</f>
        <v>#REF!</v>
      </c>
      <c r="R29" s="11" t="e">
        <f t="shared" si="7"/>
        <v>#REF!</v>
      </c>
      <c r="U29" s="9" t="s">
        <v>22</v>
      </c>
      <c r="V29" s="10" t="e">
        <f t="shared" si="1"/>
        <v>#REF!</v>
      </c>
      <c r="W29" s="10" t="e">
        <f t="shared" si="2"/>
        <v>#REF!</v>
      </c>
      <c r="X29" s="10" t="e">
        <f t="shared" si="3"/>
        <v>#REF!</v>
      </c>
      <c r="Y29" s="10" t="e">
        <f t="shared" si="3"/>
        <v>#REF!</v>
      </c>
      <c r="Z29" s="10" t="e">
        <f t="shared" si="4"/>
        <v>#REF!</v>
      </c>
      <c r="AA29" s="10" t="e">
        <f t="shared" si="8"/>
        <v>#REF!</v>
      </c>
      <c r="AB29" s="10" t="e">
        <f t="shared" si="23"/>
        <v>#REF!</v>
      </c>
      <c r="AC29" s="10" t="e">
        <f t="shared" si="23"/>
        <v>#REF!</v>
      </c>
      <c r="AD29" s="10" t="e">
        <f t="shared" si="23"/>
        <v>#REF!</v>
      </c>
      <c r="AE29" s="10" t="e">
        <f t="shared" si="23"/>
        <v>#REF!</v>
      </c>
      <c r="AF29" s="10" t="e">
        <f t="shared" si="23"/>
        <v>#REF!</v>
      </c>
      <c r="AG29" s="11" t="e">
        <f t="shared" si="23"/>
        <v>#REF!</v>
      </c>
      <c r="AH29" s="10" t="e">
        <f t="shared" si="23"/>
        <v>#REF!</v>
      </c>
      <c r="AI29" s="10" t="e">
        <f t="shared" si="23"/>
        <v>#REF!</v>
      </c>
      <c r="AJ29" s="11" t="e">
        <f t="shared" si="23"/>
        <v>#REF!</v>
      </c>
      <c r="AL29" s="12" t="s">
        <v>14</v>
      </c>
      <c r="AM29" s="13" t="e">
        <f t="shared" si="18"/>
        <v>#REF!</v>
      </c>
      <c r="AP29" s="12" t="s">
        <v>30</v>
      </c>
      <c r="AQ29" s="14" t="e">
        <f t="shared" si="19"/>
        <v>#REF!</v>
      </c>
    </row>
    <row r="30" spans="1:43">
      <c r="A30" s="3" t="s">
        <v>203</v>
      </c>
      <c r="C30" s="9" t="s">
        <v>29</v>
      </c>
      <c r="D30" s="10" t="e">
        <f>SUMIFS(#REF!,#REF!,"2020",#REF!,'App. 1 (App)'!$A30,#REF!,"Loan",#REF!,"OCR")</f>
        <v>#REF!</v>
      </c>
      <c r="E30" s="10" t="e">
        <f>SUMIFS(#REF!,#REF!,"2020",#REF!,'App. 1 (App)'!$A30,#REF!,"Guarantee",#REF!,"OCR")</f>
        <v>#REF!</v>
      </c>
      <c r="F30" s="10" t="e">
        <f>SUMIFS(#REF!,#REF!,"2020",#REF!,'App. 1 (App)'!$A30,#REF!,"Equity",#REF!,"OCR")</f>
        <v>#REF!</v>
      </c>
      <c r="G30" s="10" t="e">
        <f>SUMIFS(#REF!,#REF!,"2020",#REF!,'App. 1 (App)'!$A30,#REF!,"MFP",#REF!,"OCR")</f>
        <v>#REF!</v>
      </c>
      <c r="H30" s="10" t="e">
        <f>SUMIFS(#REF!,#REF!,"2020",#REF!,'App. 1 (App)'!$A30,#REF!,"SCFP",#REF!,"OCR")</f>
        <v>#REF!</v>
      </c>
      <c r="I30" s="10" t="e">
        <f>SUMIFS(#REF!,#REF!,"2020",#REF!,'App. 1 (App)'!$A30,#REF!,"TFP",#REF!,"OCR")</f>
        <v>#REF!</v>
      </c>
      <c r="J30" s="10" t="e">
        <f>SUMIFS(#REF!,#REF!,"2020",#REF!,'App. 1 (App)'!$A30,#REF!,"Loan",#REF!,"ADF")+SUMIFS(#REF!,#REF!,"2020",#REF!,'App. 1 (App)'!$A30,#REF!,"Loan",#REF!,"COL")</f>
        <v>#REF!</v>
      </c>
      <c r="K30" s="10" t="e">
        <f>SUMIFS(#REF!,#REF!,"2020",#REF!,'App. 1 (App)'!$A30,#REF!,"Grant",#REF!,"ADF")</f>
        <v>#REF!</v>
      </c>
      <c r="L30" s="10" t="e">
        <f>SUMIFS(#REF!,#REF!,"2020",#REF!,'App. 1 (App)'!$A30,#REF!,"TA",#REF!,"ADB")</f>
        <v>#REF!</v>
      </c>
      <c r="M30" s="10" t="e">
        <f>SUMIFS(#REF!,#REF!,"2020",#REF!,'App. 1 (App)'!$A30,#REF!,"Grant",#REF!,"Special Fund")</f>
        <v>#REF!</v>
      </c>
      <c r="N30" s="10" t="e">
        <f>SUMIFS(#REF!,#REF!,"2020",#REF!,'App. 1 (App)'!$A30,#REF!,"TA",#REF!,"Special Fund")</f>
        <v>#REF!</v>
      </c>
      <c r="O30" s="11" t="e">
        <f t="shared" si="6"/>
        <v>#REF!</v>
      </c>
      <c r="P30" s="10" t="e">
        <f>SUMIFS(#REF!,#REF!,"2020",#REF!,'App. 1 (App)'!$A30,#REF!,"Official")-Q30+SUMIFS(#REF!,#REF!,"2020",#REF!,'App. 1 (App)'!$A30,#REF!,"Commercial")+SUMIFS(#REF!,#REF!,"2020",#REF!,'App. 1 (App)'!$A30,#REF!,"Other Concessional")</f>
        <v>#REF!</v>
      </c>
      <c r="Q30" s="10" t="e">
        <f>SUMIFS(#REF!,#REF!,"2020",#REF!,'App. 1 (App)'!$A30,#REF!,"TA Cofinancing",#REF!,"Official")+SUMIFS(#REF!,#REF!,"2020",#REF!,'App. 1 (App)'!$A30,#REF!,"TA Cofinancing",#REF!,"Other Concessional")</f>
        <v>#REF!</v>
      </c>
      <c r="R30" s="11" t="e">
        <f t="shared" si="7"/>
        <v>#REF!</v>
      </c>
      <c r="U30" s="9" t="s">
        <v>29</v>
      </c>
      <c r="V30" s="10" t="e">
        <f t="shared" si="1"/>
        <v>#REF!</v>
      </c>
      <c r="W30" s="10" t="e">
        <f t="shared" si="2"/>
        <v>#REF!</v>
      </c>
      <c r="X30" s="10" t="e">
        <f t="shared" si="3"/>
        <v>#REF!</v>
      </c>
      <c r="Y30" s="10" t="e">
        <f t="shared" si="3"/>
        <v>#REF!</v>
      </c>
      <c r="Z30" s="10" t="e">
        <f t="shared" si="4"/>
        <v>#REF!</v>
      </c>
      <c r="AA30" s="10" t="e">
        <f t="shared" si="8"/>
        <v>#REF!</v>
      </c>
      <c r="AB30" s="10" t="e">
        <f t="shared" si="23"/>
        <v>#REF!</v>
      </c>
      <c r="AC30" s="10" t="e">
        <f t="shared" si="23"/>
        <v>#REF!</v>
      </c>
      <c r="AD30" s="10" t="e">
        <f t="shared" si="23"/>
        <v>#REF!</v>
      </c>
      <c r="AE30" s="10" t="e">
        <f t="shared" si="23"/>
        <v>#REF!</v>
      </c>
      <c r="AF30" s="10" t="e">
        <f t="shared" si="23"/>
        <v>#REF!</v>
      </c>
      <c r="AG30" s="11" t="e">
        <f t="shared" si="23"/>
        <v>#REF!</v>
      </c>
      <c r="AH30" s="10" t="e">
        <f t="shared" si="23"/>
        <v>#REF!</v>
      </c>
      <c r="AI30" s="10" t="e">
        <f t="shared" si="23"/>
        <v>#REF!</v>
      </c>
      <c r="AJ30" s="11" t="e">
        <f t="shared" si="23"/>
        <v>#REF!</v>
      </c>
      <c r="AL30" s="12" t="s">
        <v>50</v>
      </c>
      <c r="AM30" s="13" t="e">
        <f t="shared" si="18"/>
        <v>#REF!</v>
      </c>
      <c r="AP30" s="12" t="s">
        <v>44</v>
      </c>
      <c r="AQ30" s="14" t="e">
        <f t="shared" si="19"/>
        <v>#REF!</v>
      </c>
    </row>
    <row r="31" spans="1:43">
      <c r="A31" s="3" t="s">
        <v>204</v>
      </c>
      <c r="C31" s="9" t="s">
        <v>34</v>
      </c>
      <c r="D31" s="10" t="e">
        <f>SUMIFS(#REF!,#REF!,"2020",#REF!,'App. 1 (App)'!$A31,#REF!,"Loan",#REF!,"OCR")</f>
        <v>#REF!</v>
      </c>
      <c r="E31" s="10" t="e">
        <f>SUMIFS(#REF!,#REF!,"2020",#REF!,'App. 1 (App)'!$A31,#REF!,"Guarantee",#REF!,"OCR")</f>
        <v>#REF!</v>
      </c>
      <c r="F31" s="10" t="e">
        <f>SUMIFS(#REF!,#REF!,"2020",#REF!,'App. 1 (App)'!$A31,#REF!,"Equity",#REF!,"OCR")</f>
        <v>#REF!</v>
      </c>
      <c r="G31" s="10" t="e">
        <f>SUMIFS(#REF!,#REF!,"2020",#REF!,'App. 1 (App)'!$A31,#REF!,"MFP",#REF!,"OCR")</f>
        <v>#REF!</v>
      </c>
      <c r="H31" s="10" t="e">
        <f>SUMIFS(#REF!,#REF!,"2020",#REF!,'App. 1 (App)'!$A31,#REF!,"SCFP",#REF!,"OCR")</f>
        <v>#REF!</v>
      </c>
      <c r="I31" s="10" t="e">
        <f>SUMIFS(#REF!,#REF!,"2020",#REF!,'App. 1 (App)'!$A31,#REF!,"TFP",#REF!,"OCR")</f>
        <v>#REF!</v>
      </c>
      <c r="J31" s="10" t="e">
        <f>SUMIFS(#REF!,#REF!,"2020",#REF!,'App. 1 (App)'!$A31,#REF!,"Loan",#REF!,"ADF")+SUMIFS(#REF!,#REF!,"2020",#REF!,'App. 1 (App)'!$A31,#REF!,"Loan",#REF!,"COL")</f>
        <v>#REF!</v>
      </c>
      <c r="K31" s="10" t="e">
        <f>SUMIFS(#REF!,#REF!,"2020",#REF!,'App. 1 (App)'!$A31,#REF!,"Grant",#REF!,"ADF")</f>
        <v>#REF!</v>
      </c>
      <c r="L31" s="10" t="e">
        <f>SUMIFS(#REF!,#REF!,"2020",#REF!,'App. 1 (App)'!$A31,#REF!,"TA",#REF!,"ADB")</f>
        <v>#REF!</v>
      </c>
      <c r="M31" s="10" t="e">
        <f>SUMIFS(#REF!,#REF!,"2020",#REF!,'App. 1 (App)'!$A31,#REF!,"Grant",#REF!,"Special Fund")</f>
        <v>#REF!</v>
      </c>
      <c r="N31" s="10" t="e">
        <f>SUMIFS(#REF!,#REF!,"2020",#REF!,'App. 1 (App)'!$A31,#REF!,"TA",#REF!,"Special Fund")</f>
        <v>#REF!</v>
      </c>
      <c r="O31" s="11" t="e">
        <f t="shared" si="6"/>
        <v>#REF!</v>
      </c>
      <c r="P31" s="10" t="e">
        <f>SUMIFS(#REF!,#REF!,"2020",#REF!,'App. 1 (App)'!$A31,#REF!,"Official")-Q31+SUMIFS(#REF!,#REF!,"2020",#REF!,'App. 1 (App)'!$A31,#REF!,"Commercial")+SUMIFS(#REF!,#REF!,"2020",#REF!,'App. 1 (App)'!$A31,#REF!,"Other Concessional")</f>
        <v>#REF!</v>
      </c>
      <c r="Q31" s="10" t="e">
        <f>SUMIFS(#REF!,#REF!,"2020",#REF!,'App. 1 (App)'!$A31,#REF!,"TA Cofinancing",#REF!,"Official")+SUMIFS(#REF!,#REF!,"2020",#REF!,'App. 1 (App)'!$A31,#REF!,"TA Cofinancing",#REF!,"Other Concessional")</f>
        <v>#REF!</v>
      </c>
      <c r="R31" s="11" t="e">
        <f t="shared" si="7"/>
        <v>#REF!</v>
      </c>
      <c r="U31" s="9" t="s">
        <v>34</v>
      </c>
      <c r="V31" s="10" t="e">
        <f t="shared" si="1"/>
        <v>#REF!</v>
      </c>
      <c r="W31" s="10" t="e">
        <f t="shared" si="2"/>
        <v>#REF!</v>
      </c>
      <c r="X31" s="10" t="e">
        <f t="shared" si="3"/>
        <v>#REF!</v>
      </c>
      <c r="Y31" s="10" t="e">
        <f t="shared" si="3"/>
        <v>#REF!</v>
      </c>
      <c r="Z31" s="10" t="e">
        <f t="shared" si="4"/>
        <v>#REF!</v>
      </c>
      <c r="AA31" s="10" t="e">
        <f t="shared" si="8"/>
        <v>#REF!</v>
      </c>
      <c r="AB31" s="10" t="e">
        <f t="shared" si="23"/>
        <v>#REF!</v>
      </c>
      <c r="AC31" s="10" t="e">
        <f t="shared" si="23"/>
        <v>#REF!</v>
      </c>
      <c r="AD31" s="10" t="e">
        <f t="shared" si="23"/>
        <v>#REF!</v>
      </c>
      <c r="AE31" s="10" t="e">
        <f t="shared" si="23"/>
        <v>#REF!</v>
      </c>
      <c r="AF31" s="10" t="e">
        <f t="shared" si="23"/>
        <v>#REF!</v>
      </c>
      <c r="AG31" s="11" t="e">
        <f t="shared" si="23"/>
        <v>#REF!</v>
      </c>
      <c r="AH31" s="10" t="e">
        <f t="shared" si="23"/>
        <v>#REF!</v>
      </c>
      <c r="AI31" s="10" t="e">
        <f t="shared" si="23"/>
        <v>#REF!</v>
      </c>
      <c r="AJ31" s="11" t="e">
        <f t="shared" si="23"/>
        <v>#REF!</v>
      </c>
      <c r="AL31" s="12" t="s">
        <v>30</v>
      </c>
      <c r="AM31" s="13" t="e">
        <f t="shared" si="18"/>
        <v>#REF!</v>
      </c>
      <c r="AP31" s="12" t="s">
        <v>50</v>
      </c>
      <c r="AQ31" s="14" t="e">
        <f t="shared" si="19"/>
        <v>#REF!</v>
      </c>
    </row>
    <row r="32" spans="1:43">
      <c r="A32" s="3" t="s">
        <v>205</v>
      </c>
      <c r="C32" s="9" t="s">
        <v>36</v>
      </c>
      <c r="D32" s="10" t="e">
        <f>SUMIFS(#REF!,#REF!,"2020",#REF!,'App. 1 (App)'!$A32,#REF!,"Loan",#REF!,"OCR")</f>
        <v>#REF!</v>
      </c>
      <c r="E32" s="10" t="e">
        <f>SUMIFS(#REF!,#REF!,"2020",#REF!,'App. 1 (App)'!$A32,#REF!,"Guarantee",#REF!,"OCR")</f>
        <v>#REF!</v>
      </c>
      <c r="F32" s="10" t="e">
        <f>SUMIFS(#REF!,#REF!,"2020",#REF!,'App. 1 (App)'!$A32,#REF!,"Equity",#REF!,"OCR")</f>
        <v>#REF!</v>
      </c>
      <c r="G32" s="10" t="e">
        <f>SUMIFS(#REF!,#REF!,"2020",#REF!,'App. 1 (App)'!$A32,#REF!,"MFP",#REF!,"OCR")</f>
        <v>#REF!</v>
      </c>
      <c r="H32" s="10" t="e">
        <f>SUMIFS(#REF!,#REF!,"2020",#REF!,'App. 1 (App)'!$A32,#REF!,"SCFP",#REF!,"OCR")</f>
        <v>#REF!</v>
      </c>
      <c r="I32" s="10" t="e">
        <f>SUMIFS(#REF!,#REF!,"2020",#REF!,'App. 1 (App)'!$A32,#REF!,"TFP",#REF!,"OCR")</f>
        <v>#REF!</v>
      </c>
      <c r="J32" s="10" t="e">
        <f>SUMIFS(#REF!,#REF!,"2020",#REF!,'App. 1 (App)'!$A32,#REF!,"Loan",#REF!,"ADF")+SUMIFS(#REF!,#REF!,"2020",#REF!,'App. 1 (App)'!$A32,#REF!,"Loan",#REF!,"COL")</f>
        <v>#REF!</v>
      </c>
      <c r="K32" s="10" t="e">
        <f>SUMIFS(#REF!,#REF!,"2020",#REF!,'App. 1 (App)'!$A32,#REF!,"Grant",#REF!,"ADF")</f>
        <v>#REF!</v>
      </c>
      <c r="L32" s="10" t="e">
        <f>SUMIFS(#REF!,#REF!,"2020",#REF!,'App. 1 (App)'!$A32,#REF!,"TA",#REF!,"ADB")</f>
        <v>#REF!</v>
      </c>
      <c r="M32" s="10" t="e">
        <f>SUMIFS(#REF!,#REF!,"2020",#REF!,'App. 1 (App)'!$A32,#REF!,"Grant",#REF!,"Special Fund")</f>
        <v>#REF!</v>
      </c>
      <c r="N32" s="10" t="e">
        <f>SUMIFS(#REF!,#REF!,"2020",#REF!,'App. 1 (App)'!$A32,#REF!,"TA",#REF!,"Special Fund")</f>
        <v>#REF!</v>
      </c>
      <c r="O32" s="11" t="e">
        <f t="shared" si="6"/>
        <v>#REF!</v>
      </c>
      <c r="P32" s="10" t="e">
        <f>SUMIFS(#REF!,#REF!,"2020",#REF!,'App. 1 (App)'!$A32,#REF!,"Official")-Q32+SUMIFS(#REF!,#REF!,"2020",#REF!,'App. 1 (App)'!$A32,#REF!,"Commercial")+SUMIFS(#REF!,#REF!,"2020",#REF!,'App. 1 (App)'!$A32,#REF!,"Other Concessional")</f>
        <v>#REF!</v>
      </c>
      <c r="Q32" s="10" t="e">
        <f>SUMIFS(#REF!,#REF!,"2020",#REF!,'App. 1 (App)'!$A32,#REF!,"TA Cofinancing",#REF!,"Official")+SUMIFS(#REF!,#REF!,"2020",#REF!,'App. 1 (App)'!$A32,#REF!,"TA Cofinancing",#REF!,"Other Concessional")</f>
        <v>#REF!</v>
      </c>
      <c r="R32" s="11" t="e">
        <f t="shared" si="7"/>
        <v>#REF!</v>
      </c>
      <c r="U32" s="9" t="s">
        <v>36</v>
      </c>
      <c r="V32" s="10" t="e">
        <f t="shared" si="1"/>
        <v>#REF!</v>
      </c>
      <c r="W32" s="10" t="e">
        <f t="shared" si="2"/>
        <v>#REF!</v>
      </c>
      <c r="X32" s="10" t="e">
        <f t="shared" si="3"/>
        <v>#REF!</v>
      </c>
      <c r="Y32" s="10" t="e">
        <f t="shared" si="3"/>
        <v>#REF!</v>
      </c>
      <c r="Z32" s="10" t="e">
        <f t="shared" si="4"/>
        <v>#REF!</v>
      </c>
      <c r="AA32" s="10" t="e">
        <f t="shared" si="8"/>
        <v>#REF!</v>
      </c>
      <c r="AB32" s="10" t="e">
        <f t="shared" si="23"/>
        <v>#REF!</v>
      </c>
      <c r="AC32" s="10" t="e">
        <f t="shared" si="23"/>
        <v>#REF!</v>
      </c>
      <c r="AD32" s="10" t="e">
        <f t="shared" si="23"/>
        <v>#REF!</v>
      </c>
      <c r="AE32" s="10" t="e">
        <f t="shared" si="23"/>
        <v>#REF!</v>
      </c>
      <c r="AF32" s="10" t="e">
        <f t="shared" si="23"/>
        <v>#REF!</v>
      </c>
      <c r="AG32" s="11" t="e">
        <f t="shared" si="23"/>
        <v>#REF!</v>
      </c>
      <c r="AH32" s="10" t="e">
        <f t="shared" si="23"/>
        <v>#REF!</v>
      </c>
      <c r="AI32" s="10" t="e">
        <f t="shared" si="23"/>
        <v>#REF!</v>
      </c>
      <c r="AJ32" s="11" t="e">
        <f t="shared" si="23"/>
        <v>#REF!</v>
      </c>
      <c r="AL32" s="12" t="s">
        <v>44</v>
      </c>
      <c r="AM32" s="13" t="e">
        <f t="shared" si="18"/>
        <v>#REF!</v>
      </c>
      <c r="AP32" s="12" t="s">
        <v>41</v>
      </c>
      <c r="AQ32" s="14" t="e">
        <f t="shared" si="19"/>
        <v>#REF!</v>
      </c>
    </row>
    <row r="33" spans="1:43">
      <c r="A33" s="3" t="s">
        <v>206</v>
      </c>
      <c r="C33" s="9" t="s">
        <v>38</v>
      </c>
      <c r="D33" s="10" t="e">
        <f>SUMIFS(#REF!,#REF!,"2020",#REF!,'App. 1 (App)'!$A33,#REF!,"Loan",#REF!,"OCR")</f>
        <v>#REF!</v>
      </c>
      <c r="E33" s="10" t="e">
        <f>SUMIFS(#REF!,#REF!,"2020",#REF!,'App. 1 (App)'!$A33,#REF!,"Guarantee",#REF!,"OCR")</f>
        <v>#REF!</v>
      </c>
      <c r="F33" s="10" t="e">
        <f>SUMIFS(#REF!,#REF!,"2020",#REF!,'App. 1 (App)'!$A33,#REF!,"Equity",#REF!,"OCR")</f>
        <v>#REF!</v>
      </c>
      <c r="G33" s="10" t="e">
        <f>SUMIFS(#REF!,#REF!,"2020",#REF!,'App. 1 (App)'!$A33,#REF!,"MFP",#REF!,"OCR")</f>
        <v>#REF!</v>
      </c>
      <c r="H33" s="10" t="e">
        <f>SUMIFS(#REF!,#REF!,"2020",#REF!,'App. 1 (App)'!$A33,#REF!,"SCFP",#REF!,"OCR")</f>
        <v>#REF!</v>
      </c>
      <c r="I33" s="10" t="e">
        <f>SUMIFS(#REF!,#REF!,"2020",#REF!,'App. 1 (App)'!$A33,#REF!,"TFP",#REF!,"OCR")</f>
        <v>#REF!</v>
      </c>
      <c r="J33" s="10" t="e">
        <f>SUMIFS(#REF!,#REF!,"2020",#REF!,'App. 1 (App)'!$A33,#REF!,"Loan",#REF!,"ADF")+SUMIFS(#REF!,#REF!,"2020",#REF!,'App. 1 (App)'!$A33,#REF!,"Loan",#REF!,"COL")</f>
        <v>#REF!</v>
      </c>
      <c r="K33" s="10" t="e">
        <f>SUMIFS(#REF!,#REF!,"2020",#REF!,'App. 1 (App)'!$A33,#REF!,"Grant",#REF!,"ADF")</f>
        <v>#REF!</v>
      </c>
      <c r="L33" s="10" t="e">
        <f>SUMIFS(#REF!,#REF!,"2020",#REF!,'App. 1 (App)'!$A33,#REF!,"TA",#REF!,"ADB")</f>
        <v>#REF!</v>
      </c>
      <c r="M33" s="10" t="e">
        <f>SUMIFS(#REF!,#REF!,"2020",#REF!,'App. 1 (App)'!$A33,#REF!,"Grant",#REF!,"Special Fund")</f>
        <v>#REF!</v>
      </c>
      <c r="N33" s="10" t="e">
        <f>SUMIFS(#REF!,#REF!,"2020",#REF!,'App. 1 (App)'!$A33,#REF!,"TA",#REF!,"Special Fund")</f>
        <v>#REF!</v>
      </c>
      <c r="O33" s="11" t="e">
        <f t="shared" si="6"/>
        <v>#REF!</v>
      </c>
      <c r="P33" s="10" t="e">
        <f>SUMIFS(#REF!,#REF!,"2020",#REF!,'App. 1 (App)'!$A33,#REF!,"Official")-Q33+SUMIFS(#REF!,#REF!,"2020",#REF!,'App. 1 (App)'!$A33,#REF!,"Commercial")+SUMIFS(#REF!,#REF!,"2020",#REF!,'App. 1 (App)'!$A33,#REF!,"Other Concessional")</f>
        <v>#REF!</v>
      </c>
      <c r="Q33" s="10" t="e">
        <f>SUMIFS(#REF!,#REF!,"2020",#REF!,'App. 1 (App)'!$A33,#REF!,"TA Cofinancing",#REF!,"Official")+SUMIFS(#REF!,#REF!,"2020",#REF!,'App. 1 (App)'!$A33,#REF!,"TA Cofinancing",#REF!,"Other Concessional")</f>
        <v>#REF!</v>
      </c>
      <c r="R33" s="11" t="e">
        <f t="shared" si="7"/>
        <v>#REF!</v>
      </c>
      <c r="U33" s="9" t="s">
        <v>38</v>
      </c>
      <c r="V33" s="10" t="e">
        <f>D33</f>
        <v>#REF!</v>
      </c>
      <c r="W33" s="10" t="e">
        <f>E33</f>
        <v>#REF!</v>
      </c>
      <c r="X33" s="10" t="e">
        <f>F33</f>
        <v>#REF!</v>
      </c>
      <c r="Y33" s="10" t="e">
        <f t="shared" si="3"/>
        <v>#REF!</v>
      </c>
      <c r="Z33" s="10" t="e">
        <f t="shared" ref="Z33:AJ33" si="24">H33</f>
        <v>#REF!</v>
      </c>
      <c r="AA33" s="10" t="e">
        <f t="shared" si="24"/>
        <v>#REF!</v>
      </c>
      <c r="AB33" s="10" t="e">
        <f t="shared" si="24"/>
        <v>#REF!</v>
      </c>
      <c r="AC33" s="10" t="e">
        <f t="shared" si="24"/>
        <v>#REF!</v>
      </c>
      <c r="AD33" s="10" t="e">
        <f t="shared" si="24"/>
        <v>#REF!</v>
      </c>
      <c r="AE33" s="10" t="e">
        <f t="shared" si="24"/>
        <v>#REF!</v>
      </c>
      <c r="AF33" s="10" t="e">
        <f t="shared" si="24"/>
        <v>#REF!</v>
      </c>
      <c r="AG33" s="11" t="e">
        <f t="shared" si="24"/>
        <v>#REF!</v>
      </c>
      <c r="AH33" s="10" t="e">
        <f t="shared" si="24"/>
        <v>#REF!</v>
      </c>
      <c r="AI33" s="10" t="e">
        <f t="shared" si="24"/>
        <v>#REF!</v>
      </c>
      <c r="AJ33" s="11" t="e">
        <f t="shared" si="24"/>
        <v>#REF!</v>
      </c>
      <c r="AL33" s="3" t="s">
        <v>20</v>
      </c>
      <c r="AM33" s="18" t="e">
        <f t="shared" si="18"/>
        <v>#REF!</v>
      </c>
      <c r="AP33" s="3" t="s">
        <v>20</v>
      </c>
      <c r="AQ33" s="14" t="e">
        <f t="shared" si="19"/>
        <v>#REF!</v>
      </c>
    </row>
    <row r="34" spans="1:43">
      <c r="A34" s="3" t="s">
        <v>207</v>
      </c>
      <c r="C34" s="9" t="s">
        <v>41</v>
      </c>
      <c r="D34" s="10" t="e">
        <f>SUMIFS(#REF!,#REF!,"2020",#REF!,'App. 1 (App)'!$A34,#REF!,"Loan",#REF!,"OCR")</f>
        <v>#REF!</v>
      </c>
      <c r="E34" s="10" t="e">
        <f>SUMIFS(#REF!,#REF!,"2020",#REF!,'App. 1 (App)'!$A34,#REF!,"Guarantee",#REF!,"OCR")</f>
        <v>#REF!</v>
      </c>
      <c r="F34" s="10" t="e">
        <f>SUMIFS(#REF!,#REF!,"2020",#REF!,'App. 1 (App)'!$A34,#REF!,"Equity",#REF!,"OCR")</f>
        <v>#REF!</v>
      </c>
      <c r="G34" s="10" t="e">
        <f>SUMIFS(#REF!,#REF!,"2020",#REF!,'App. 1 (App)'!$A34,#REF!,"MFP",#REF!,"OCR")</f>
        <v>#REF!</v>
      </c>
      <c r="H34" s="10" t="e">
        <f>SUMIFS(#REF!,#REF!,"2020",#REF!,'App. 1 (App)'!$A34,#REF!,"SCFP",#REF!,"OCR")</f>
        <v>#REF!</v>
      </c>
      <c r="I34" s="10" t="e">
        <f>SUMIFS(#REF!,#REF!,"2020",#REF!,'App. 1 (App)'!$A34,#REF!,"TFP",#REF!,"OCR")</f>
        <v>#REF!</v>
      </c>
      <c r="J34" s="10" t="e">
        <f>SUMIFS(#REF!,#REF!,"2020",#REF!,'App. 1 (App)'!$A34,#REF!,"Loan",#REF!,"ADF")+SUMIFS(#REF!,#REF!,"2020",#REF!,'App. 1 (App)'!$A34,#REF!,"Loan",#REF!,"COL")</f>
        <v>#REF!</v>
      </c>
      <c r="K34" s="10" t="e">
        <f>SUMIFS(#REF!,#REF!,"2020",#REF!,'App. 1 (App)'!$A34,#REF!,"Grant",#REF!,"ADF")</f>
        <v>#REF!</v>
      </c>
      <c r="L34" s="10" t="e">
        <f>SUMIFS(#REF!,#REF!,"2020",#REF!,'App. 1 (App)'!$A34,#REF!,"TA",#REF!,"ADB")</f>
        <v>#REF!</v>
      </c>
      <c r="M34" s="10" t="e">
        <f>SUMIFS(#REF!,#REF!,"2020",#REF!,'App. 1 (App)'!$A34,#REF!,"Grant",#REF!,"Special Fund")</f>
        <v>#REF!</v>
      </c>
      <c r="N34" s="10" t="e">
        <f>SUMIFS(#REF!,#REF!,"2020",#REF!,'App. 1 (App)'!$A34,#REF!,"TA",#REF!,"Special Fund")</f>
        <v>#REF!</v>
      </c>
      <c r="O34" s="11" t="e">
        <f t="shared" si="6"/>
        <v>#REF!</v>
      </c>
      <c r="P34" s="10" t="e">
        <f>SUMIFS(#REF!,#REF!,"2020",#REF!,'App. 1 (App)'!$A34,#REF!,"Official")-Q34+SUMIFS(#REF!,#REF!,"2020",#REF!,'App. 1 (App)'!$A34,#REF!,"Commercial")+SUMIFS(#REF!,#REF!,"2020",#REF!,'App. 1 (App)'!$A34,#REF!,"Other Concessional")</f>
        <v>#REF!</v>
      </c>
      <c r="Q34" s="10" t="e">
        <f>SUMIFS(#REF!,#REF!,"2020",#REF!,'App. 1 (App)'!$A34,#REF!,"TA Cofinancing",#REF!,"Official")+SUMIFS(#REF!,#REF!,"2020",#REF!,'App. 1 (App)'!$A34,#REF!,"TA Cofinancing",#REF!,"Other Concessional")</f>
        <v>#REF!</v>
      </c>
      <c r="R34" s="11" t="e">
        <f t="shared" si="7"/>
        <v>#REF!</v>
      </c>
      <c r="U34" s="9" t="s">
        <v>41</v>
      </c>
      <c r="V34" s="10" t="e">
        <f t="shared" si="1"/>
        <v>#REF!</v>
      </c>
      <c r="W34" s="10" t="e">
        <f t="shared" si="2"/>
        <v>#REF!</v>
      </c>
      <c r="X34" s="10" t="e">
        <f t="shared" si="3"/>
        <v>#REF!</v>
      </c>
      <c r="Y34" s="10" t="e">
        <f t="shared" si="3"/>
        <v>#REF!</v>
      </c>
      <c r="Z34" s="10" t="e">
        <f t="shared" si="4"/>
        <v>#REF!</v>
      </c>
      <c r="AA34" s="10" t="e">
        <f t="shared" si="8"/>
        <v>#REF!</v>
      </c>
      <c r="AB34" s="10" t="e">
        <f t="shared" si="23"/>
        <v>#REF!</v>
      </c>
      <c r="AC34" s="10" t="e">
        <f t="shared" si="23"/>
        <v>#REF!</v>
      </c>
      <c r="AD34" s="10" t="e">
        <f t="shared" si="23"/>
        <v>#REF!</v>
      </c>
      <c r="AE34" s="10" t="e">
        <f t="shared" si="23"/>
        <v>#REF!</v>
      </c>
      <c r="AF34" s="10" t="e">
        <f t="shared" si="23"/>
        <v>#REF!</v>
      </c>
      <c r="AG34" s="11" t="e">
        <f t="shared" si="23"/>
        <v>#REF!</v>
      </c>
      <c r="AH34" s="10" t="e">
        <f t="shared" si="23"/>
        <v>#REF!</v>
      </c>
      <c r="AI34" s="10" t="e">
        <f t="shared" si="23"/>
        <v>#REF!</v>
      </c>
      <c r="AJ34" s="11" t="e">
        <f t="shared" si="23"/>
        <v>#REF!</v>
      </c>
      <c r="AL34" s="12" t="s">
        <v>29</v>
      </c>
      <c r="AM34" s="13" t="e">
        <f t="shared" si="18"/>
        <v>#REF!</v>
      </c>
      <c r="AP34" s="12" t="s">
        <v>7</v>
      </c>
      <c r="AQ34" s="14" t="e">
        <f t="shared" si="19"/>
        <v>#REF!</v>
      </c>
    </row>
    <row r="35" spans="1:43">
      <c r="A35" s="3" t="s">
        <v>208</v>
      </c>
      <c r="C35" s="9" t="s">
        <v>42</v>
      </c>
      <c r="D35" s="10" t="e">
        <f>SUMIFS(#REF!,#REF!,"2020",#REF!,'App. 1 (App)'!$A35,#REF!,"Loan",#REF!,"OCR")</f>
        <v>#REF!</v>
      </c>
      <c r="E35" s="10" t="e">
        <f>SUMIFS(#REF!,#REF!,"2020",#REF!,'App. 1 (App)'!$A35,#REF!,"Guarantee",#REF!,"OCR")</f>
        <v>#REF!</v>
      </c>
      <c r="F35" s="10" t="e">
        <f>SUMIFS(#REF!,#REF!,"2020",#REF!,'App. 1 (App)'!$A35,#REF!,"Equity",#REF!,"OCR")</f>
        <v>#REF!</v>
      </c>
      <c r="G35" s="10" t="e">
        <f>SUMIFS(#REF!,#REF!,"2020",#REF!,'App. 1 (App)'!$A35,#REF!,"MFP",#REF!,"OCR")</f>
        <v>#REF!</v>
      </c>
      <c r="H35" s="10" t="e">
        <f>SUMIFS(#REF!,#REF!,"2020",#REF!,'App. 1 (App)'!$A35,#REF!,"SCFP",#REF!,"OCR")</f>
        <v>#REF!</v>
      </c>
      <c r="I35" s="10" t="e">
        <f>SUMIFS(#REF!,#REF!,"2020",#REF!,'App. 1 (App)'!$A35,#REF!,"TFP",#REF!,"OCR")</f>
        <v>#REF!</v>
      </c>
      <c r="J35" s="10" t="e">
        <f>SUMIFS(#REF!,#REF!,"2020",#REF!,'App. 1 (App)'!$A35,#REF!,"Loan",#REF!,"ADF")+SUMIFS(#REF!,#REF!,"2020",#REF!,'App. 1 (App)'!$A35,#REF!,"Loan",#REF!,"COL")</f>
        <v>#REF!</v>
      </c>
      <c r="K35" s="10" t="e">
        <f>SUMIFS(#REF!,#REF!,"2020",#REF!,'App. 1 (App)'!$A35,#REF!,"Grant",#REF!,"ADF")</f>
        <v>#REF!</v>
      </c>
      <c r="L35" s="10" t="e">
        <f>SUMIFS(#REF!,#REF!,"2020",#REF!,'App. 1 (App)'!$A35,#REF!,"TA",#REF!,"ADB")</f>
        <v>#REF!</v>
      </c>
      <c r="M35" s="10" t="e">
        <f>SUMIFS(#REF!,#REF!,"2020",#REF!,'App. 1 (App)'!$A35,#REF!,"Grant",#REF!,"Special Fund")</f>
        <v>#REF!</v>
      </c>
      <c r="N35" s="10" t="e">
        <f>SUMIFS(#REF!,#REF!,"2020",#REF!,'App. 1 (App)'!$A35,#REF!,"TA",#REF!,"Special Fund")</f>
        <v>#REF!</v>
      </c>
      <c r="O35" s="11" t="e">
        <f t="shared" si="6"/>
        <v>#REF!</v>
      </c>
      <c r="P35" s="10" t="e">
        <f>SUMIFS(#REF!,#REF!,"2020",#REF!,'App. 1 (App)'!$A35,#REF!,"Official")-Q35+SUMIFS(#REF!,#REF!,"2020",#REF!,'App. 1 (App)'!$A35,#REF!,"Commercial")+SUMIFS(#REF!,#REF!,"2020",#REF!,'App. 1 (App)'!$A35,#REF!,"Other Concessional")</f>
        <v>#REF!</v>
      </c>
      <c r="Q35" s="10" t="e">
        <f>SUMIFS(#REF!,#REF!,"2020",#REF!,'App. 1 (App)'!$A35,#REF!,"TA Cofinancing",#REF!,"Official")+SUMIFS(#REF!,#REF!,"2020",#REF!,'App. 1 (App)'!$A35,#REF!,"TA Cofinancing",#REF!,"Other Concessional")</f>
        <v>#REF!</v>
      </c>
      <c r="R35" s="11" t="e">
        <f t="shared" si="7"/>
        <v>#REF!</v>
      </c>
      <c r="U35" s="9" t="s">
        <v>42</v>
      </c>
      <c r="V35" s="10" t="e">
        <f t="shared" si="1"/>
        <v>#REF!</v>
      </c>
      <c r="W35" s="10" t="e">
        <f t="shared" si="2"/>
        <v>#REF!</v>
      </c>
      <c r="X35" s="10" t="e">
        <f t="shared" si="3"/>
        <v>#REF!</v>
      </c>
      <c r="Y35" s="10" t="e">
        <f t="shared" si="3"/>
        <v>#REF!</v>
      </c>
      <c r="Z35" s="10" t="e">
        <f t="shared" si="4"/>
        <v>#REF!</v>
      </c>
      <c r="AA35" s="10" t="e">
        <f t="shared" si="8"/>
        <v>#REF!</v>
      </c>
      <c r="AB35" s="10" t="e">
        <f t="shared" si="23"/>
        <v>#REF!</v>
      </c>
      <c r="AC35" s="10" t="e">
        <f t="shared" si="23"/>
        <v>#REF!</v>
      </c>
      <c r="AD35" s="10" t="e">
        <f t="shared" si="23"/>
        <v>#REF!</v>
      </c>
      <c r="AE35" s="10" t="e">
        <f t="shared" si="23"/>
        <v>#REF!</v>
      </c>
      <c r="AF35" s="10" t="e">
        <f t="shared" si="23"/>
        <v>#REF!</v>
      </c>
      <c r="AG35" s="11" t="e">
        <f t="shared" si="23"/>
        <v>#REF!</v>
      </c>
      <c r="AH35" s="10" t="e">
        <f t="shared" si="23"/>
        <v>#REF!</v>
      </c>
      <c r="AI35" s="10" t="e">
        <f t="shared" si="23"/>
        <v>#REF!</v>
      </c>
      <c r="AJ35" s="11" t="e">
        <f t="shared" si="23"/>
        <v>#REF!</v>
      </c>
      <c r="AL35" s="3" t="s">
        <v>32</v>
      </c>
      <c r="AM35" s="13" t="e">
        <f t="shared" si="18"/>
        <v>#REF!</v>
      </c>
      <c r="AP35" s="12" t="s">
        <v>21</v>
      </c>
      <c r="AQ35" s="14" t="e">
        <f t="shared" si="19"/>
        <v>#REF!</v>
      </c>
    </row>
    <row r="36" spans="1:43">
      <c r="A36" s="3" t="s">
        <v>209</v>
      </c>
      <c r="C36" s="9" t="s">
        <v>44</v>
      </c>
      <c r="D36" s="10" t="e">
        <f>SUMIFS(#REF!,#REF!,"2020",#REF!,'App. 1 (App)'!$A36,#REF!,"Loan",#REF!,"OCR")</f>
        <v>#REF!</v>
      </c>
      <c r="E36" s="10" t="e">
        <f>SUMIFS(#REF!,#REF!,"2020",#REF!,'App. 1 (App)'!$A36,#REF!,"Guarantee",#REF!,"OCR")</f>
        <v>#REF!</v>
      </c>
      <c r="F36" s="10" t="e">
        <f>SUMIFS(#REF!,#REF!,"2020",#REF!,'App. 1 (App)'!$A36,#REF!,"Equity",#REF!,"OCR")</f>
        <v>#REF!</v>
      </c>
      <c r="G36" s="10" t="e">
        <f>SUMIFS(#REF!,#REF!,"2020",#REF!,'App. 1 (App)'!$A36,#REF!,"MFP",#REF!,"OCR")</f>
        <v>#REF!</v>
      </c>
      <c r="H36" s="10" t="e">
        <f>SUMIFS(#REF!,#REF!,"2020",#REF!,'App. 1 (App)'!$A36,#REF!,"SCFP",#REF!,"OCR")</f>
        <v>#REF!</v>
      </c>
      <c r="I36" s="10" t="e">
        <f>SUMIFS(#REF!,#REF!,"2020",#REF!,'App. 1 (App)'!$A36,#REF!,"TFP",#REF!,"OCR")</f>
        <v>#REF!</v>
      </c>
      <c r="J36" s="10" t="e">
        <f>SUMIFS(#REF!,#REF!,"2020",#REF!,'App. 1 (App)'!$A36,#REF!,"Loan",#REF!,"ADF")+SUMIFS(#REF!,#REF!,"2020",#REF!,'App. 1 (App)'!$A36,#REF!,"Loan",#REF!,"COL")</f>
        <v>#REF!</v>
      </c>
      <c r="K36" s="10" t="e">
        <f>SUMIFS(#REF!,#REF!,"2020",#REF!,'App. 1 (App)'!$A36,#REF!,"Grant",#REF!,"ADF")</f>
        <v>#REF!</v>
      </c>
      <c r="L36" s="10" t="e">
        <f>SUMIFS(#REF!,#REF!,"2020",#REF!,'App. 1 (App)'!$A36,#REF!,"TA",#REF!,"ADB")</f>
        <v>#REF!</v>
      </c>
      <c r="M36" s="10" t="e">
        <f>SUMIFS(#REF!,#REF!,"2020",#REF!,'App. 1 (App)'!$A36,#REF!,"Grant",#REF!,"Special Fund")</f>
        <v>#REF!</v>
      </c>
      <c r="N36" s="10" t="e">
        <f>SUMIFS(#REF!,#REF!,"2020",#REF!,'App. 1 (App)'!$A36,#REF!,"TA",#REF!,"Special Fund")</f>
        <v>#REF!</v>
      </c>
      <c r="O36" s="11" t="e">
        <f t="shared" si="6"/>
        <v>#REF!</v>
      </c>
      <c r="P36" s="10" t="e">
        <f>SUMIFS(#REF!,#REF!,"2020",#REF!,'App. 1 (App)'!$A36,#REF!,"Official")-Q36+SUMIFS(#REF!,#REF!,"2020",#REF!,'App. 1 (App)'!$A36,#REF!,"Commercial")+SUMIFS(#REF!,#REF!,"2020",#REF!,'App. 1 (App)'!$A36,#REF!,"Other Concessional")</f>
        <v>#REF!</v>
      </c>
      <c r="Q36" s="10" t="e">
        <f>SUMIFS(#REF!,#REF!,"2020",#REF!,'App. 1 (App)'!$A36,#REF!,"TA Cofinancing",#REF!,"Official")+SUMIFS(#REF!,#REF!,"2020",#REF!,'App. 1 (App)'!$A36,#REF!,"TA Cofinancing",#REF!,"Other Concessional")</f>
        <v>#REF!</v>
      </c>
      <c r="R36" s="11" t="e">
        <f t="shared" si="7"/>
        <v>#REF!</v>
      </c>
      <c r="U36" s="9" t="s">
        <v>44</v>
      </c>
      <c r="V36" s="10" t="e">
        <f t="shared" si="1"/>
        <v>#REF!</v>
      </c>
      <c r="W36" s="10" t="e">
        <f t="shared" si="2"/>
        <v>#REF!</v>
      </c>
      <c r="X36" s="10" t="e">
        <f t="shared" si="3"/>
        <v>#REF!</v>
      </c>
      <c r="Y36" s="10" t="e">
        <f t="shared" si="3"/>
        <v>#REF!</v>
      </c>
      <c r="Z36" s="10" t="e">
        <f t="shared" si="4"/>
        <v>#REF!</v>
      </c>
      <c r="AA36" s="10" t="e">
        <f t="shared" si="8"/>
        <v>#REF!</v>
      </c>
      <c r="AB36" s="10" t="e">
        <f t="shared" si="23"/>
        <v>#REF!</v>
      </c>
      <c r="AC36" s="10" t="e">
        <f t="shared" si="23"/>
        <v>#REF!</v>
      </c>
      <c r="AD36" s="10" t="e">
        <f t="shared" si="23"/>
        <v>#REF!</v>
      </c>
      <c r="AE36" s="10" t="e">
        <f t="shared" si="23"/>
        <v>#REF!</v>
      </c>
      <c r="AF36" s="10" t="e">
        <f t="shared" si="23"/>
        <v>#REF!</v>
      </c>
      <c r="AG36" s="11" t="e">
        <f t="shared" si="23"/>
        <v>#REF!</v>
      </c>
      <c r="AH36" s="10" t="e">
        <f t="shared" si="23"/>
        <v>#REF!</v>
      </c>
      <c r="AI36" s="10" t="e">
        <f t="shared" si="23"/>
        <v>#REF!</v>
      </c>
      <c r="AJ36" s="11" t="e">
        <f t="shared" si="23"/>
        <v>#REF!</v>
      </c>
      <c r="AL36" s="12" t="s">
        <v>41</v>
      </c>
      <c r="AM36" s="13" t="e">
        <f t="shared" si="18"/>
        <v>#REF!</v>
      </c>
      <c r="AP36" s="12" t="s">
        <v>54</v>
      </c>
      <c r="AQ36" s="14" t="e">
        <f t="shared" si="19"/>
        <v>#REF!</v>
      </c>
    </row>
    <row r="37" spans="1:43">
      <c r="A37" s="3" t="s">
        <v>210</v>
      </c>
      <c r="C37" s="9" t="s">
        <v>45</v>
      </c>
      <c r="D37" s="10" t="e">
        <f>SUMIFS(#REF!,#REF!,"2020",#REF!,'App. 1 (App)'!$A37,#REF!,"Loan",#REF!,"OCR")</f>
        <v>#REF!</v>
      </c>
      <c r="E37" s="10" t="e">
        <f>SUMIFS(#REF!,#REF!,"2020",#REF!,'App. 1 (App)'!$A37,#REF!,"Guarantee",#REF!,"OCR")</f>
        <v>#REF!</v>
      </c>
      <c r="F37" s="10" t="e">
        <f>SUMIFS(#REF!,#REF!,"2020",#REF!,'App. 1 (App)'!$A37,#REF!,"Equity",#REF!,"OCR")</f>
        <v>#REF!</v>
      </c>
      <c r="G37" s="10" t="e">
        <f>SUMIFS(#REF!,#REF!,"2020",#REF!,'App. 1 (App)'!$A37,#REF!,"MFP",#REF!,"OCR")</f>
        <v>#REF!</v>
      </c>
      <c r="H37" s="10" t="e">
        <f>SUMIFS(#REF!,#REF!,"2020",#REF!,'App. 1 (App)'!$A37,#REF!,"SCFP",#REF!,"OCR")</f>
        <v>#REF!</v>
      </c>
      <c r="I37" s="10" t="e">
        <f>SUMIFS(#REF!,#REF!,"2020",#REF!,'App. 1 (App)'!$A37,#REF!,"TFP",#REF!,"OCR")</f>
        <v>#REF!</v>
      </c>
      <c r="J37" s="10" t="e">
        <f>SUMIFS(#REF!,#REF!,"2020",#REF!,'App. 1 (App)'!$A37,#REF!,"Loan",#REF!,"ADF")+SUMIFS(#REF!,#REF!,"2020",#REF!,'App. 1 (App)'!$A37,#REF!,"Loan",#REF!,"COL")</f>
        <v>#REF!</v>
      </c>
      <c r="K37" s="10" t="e">
        <f>SUMIFS(#REF!,#REF!,"2020",#REF!,'App. 1 (App)'!$A37,#REF!,"Grant",#REF!,"ADF")</f>
        <v>#REF!</v>
      </c>
      <c r="L37" s="10" t="e">
        <f>SUMIFS(#REF!,#REF!,"2020",#REF!,'App. 1 (App)'!$A37,#REF!,"TA",#REF!,"ADB")</f>
        <v>#REF!</v>
      </c>
      <c r="M37" s="10" t="e">
        <f>SUMIFS(#REF!,#REF!,"2020",#REF!,'App. 1 (App)'!$A37,#REF!,"Grant",#REF!,"Special Fund")</f>
        <v>#REF!</v>
      </c>
      <c r="N37" s="10" t="e">
        <f>SUMIFS(#REF!,#REF!,"2020",#REF!,'App. 1 (App)'!$A37,#REF!,"TA",#REF!,"Special Fund")</f>
        <v>#REF!</v>
      </c>
      <c r="O37" s="11" t="e">
        <f t="shared" si="6"/>
        <v>#REF!</v>
      </c>
      <c r="P37" s="10" t="e">
        <f>SUMIFS(#REF!,#REF!,"2020",#REF!,'App. 1 (App)'!$A37,#REF!,"Official")-Q37+SUMIFS(#REF!,#REF!,"2020",#REF!,'App. 1 (App)'!$A37,#REF!,"Commercial")+SUMIFS(#REF!,#REF!,"2020",#REF!,'App. 1 (App)'!$A37,#REF!,"Other Concessional")</f>
        <v>#REF!</v>
      </c>
      <c r="Q37" s="10" t="e">
        <f>SUMIFS(#REF!,#REF!,"2020",#REF!,'App. 1 (App)'!$A37,#REF!,"TA Cofinancing",#REF!,"Official")+SUMIFS(#REF!,#REF!,"2020",#REF!,'App. 1 (App)'!$A37,#REF!,"TA Cofinancing",#REF!,"Other Concessional")</f>
        <v>#REF!</v>
      </c>
      <c r="R37" s="11" t="e">
        <f t="shared" si="7"/>
        <v>#REF!</v>
      </c>
      <c r="U37" s="9" t="s">
        <v>45</v>
      </c>
      <c r="V37" s="10" t="e">
        <f t="shared" si="1"/>
        <v>#REF!</v>
      </c>
      <c r="W37" s="10" t="e">
        <f t="shared" si="2"/>
        <v>#REF!</v>
      </c>
      <c r="X37" s="10" t="e">
        <f t="shared" si="3"/>
        <v>#REF!</v>
      </c>
      <c r="Y37" s="10" t="e">
        <f t="shared" si="3"/>
        <v>#REF!</v>
      </c>
      <c r="Z37" s="10" t="e">
        <f t="shared" si="4"/>
        <v>#REF!</v>
      </c>
      <c r="AA37" s="10" t="e">
        <f t="shared" si="8"/>
        <v>#REF!</v>
      </c>
      <c r="AB37" s="10" t="e">
        <f t="shared" si="23"/>
        <v>#REF!</v>
      </c>
      <c r="AC37" s="10" t="e">
        <f t="shared" si="23"/>
        <v>#REF!</v>
      </c>
      <c r="AD37" s="10" t="e">
        <f t="shared" si="23"/>
        <v>#REF!</v>
      </c>
      <c r="AE37" s="10" t="e">
        <f t="shared" si="23"/>
        <v>#REF!</v>
      </c>
      <c r="AF37" s="10" t="e">
        <f t="shared" si="23"/>
        <v>#REF!</v>
      </c>
      <c r="AG37" s="11" t="e">
        <f t="shared" si="23"/>
        <v>#REF!</v>
      </c>
      <c r="AH37" s="10" t="e">
        <f t="shared" si="23"/>
        <v>#REF!</v>
      </c>
      <c r="AI37" s="10" t="e">
        <f t="shared" si="23"/>
        <v>#REF!</v>
      </c>
      <c r="AJ37" s="11" t="e">
        <f t="shared" si="23"/>
        <v>#REF!</v>
      </c>
      <c r="AL37" s="12" t="s">
        <v>45</v>
      </c>
      <c r="AM37" s="13" t="e">
        <f t="shared" si="18"/>
        <v>#REF!</v>
      </c>
      <c r="AP37" s="12" t="s">
        <v>34</v>
      </c>
      <c r="AQ37" s="14" t="e">
        <f t="shared" si="19"/>
        <v>#REF!</v>
      </c>
    </row>
    <row r="38" spans="1:43" ht="16.5">
      <c r="A38" s="3" t="s">
        <v>211</v>
      </c>
      <c r="C38" s="9" t="s">
        <v>49</v>
      </c>
      <c r="D38" s="10" t="e">
        <f>SUMIFS(#REF!,#REF!,"2020",#REF!,'App. 1 (App)'!$A38,#REF!,"Loan",#REF!,"OCR")</f>
        <v>#REF!</v>
      </c>
      <c r="E38" s="10" t="e">
        <f>SUMIFS(#REF!,#REF!,"2020",#REF!,'App. 1 (App)'!$A38,#REF!,"Guarantee",#REF!,"OCR")</f>
        <v>#REF!</v>
      </c>
      <c r="F38" s="10" t="e">
        <f>SUMIFS(#REF!,#REF!,"2020",#REF!,'App. 1 (App)'!$A38,#REF!,"Equity",#REF!,"OCR")</f>
        <v>#REF!</v>
      </c>
      <c r="G38" s="10" t="e">
        <f>SUMIFS(#REF!,#REF!,"2020",#REF!,'App. 1 (App)'!$A38,#REF!,"MFP",#REF!,"OCR")</f>
        <v>#REF!</v>
      </c>
      <c r="H38" s="10" t="e">
        <f>SUMIFS(#REF!,#REF!,"2020",#REF!,'App. 1 (App)'!$A38,#REF!,"SCFP",#REF!,"OCR")</f>
        <v>#REF!</v>
      </c>
      <c r="I38" s="10" t="e">
        <f>SUMIFS(#REF!,#REF!,"2020",#REF!,'App. 1 (App)'!$A38,#REF!,"TFP",#REF!,"OCR")</f>
        <v>#REF!</v>
      </c>
      <c r="J38" s="10" t="e">
        <f>SUMIFS(#REF!,#REF!,"2020",#REF!,'App. 1 (App)'!$A38,#REF!,"Loan",#REF!,"ADF")+SUMIFS(#REF!,#REF!,"2020",#REF!,'App. 1 (App)'!$A38,#REF!,"Loan",#REF!,"COL")</f>
        <v>#REF!</v>
      </c>
      <c r="K38" s="10" t="e">
        <f>SUMIFS(#REF!,#REF!,"2020",#REF!,'App. 1 (App)'!$A38,#REF!,"Grant",#REF!,"ADF")</f>
        <v>#REF!</v>
      </c>
      <c r="L38" s="10" t="e">
        <f>SUMIFS(#REF!,#REF!,"2020",#REF!,'App. 1 (App)'!$A38,#REF!,"TA",#REF!,"ADB")</f>
        <v>#REF!</v>
      </c>
      <c r="M38" s="10" t="e">
        <f>SUMIFS(#REF!,#REF!,"2020",#REF!,'App. 1 (App)'!$A38,#REF!,"Grant",#REF!,"Special Fund")</f>
        <v>#REF!</v>
      </c>
      <c r="N38" s="10" t="e">
        <f>SUMIFS(#REF!,#REF!,"2020",#REF!,'App. 1 (App)'!$A38,#REF!,"TA",#REF!,"Special Fund")</f>
        <v>#REF!</v>
      </c>
      <c r="O38" s="11" t="e">
        <f t="shared" si="6"/>
        <v>#REF!</v>
      </c>
      <c r="P38" s="10" t="e">
        <f>SUMIFS(#REF!,#REF!,"2020",#REF!,'App. 1 (App)'!$A38,#REF!,"Official")-Q38+SUMIFS(#REF!,#REF!,"2020",#REF!,'App. 1 (App)'!$A38,#REF!,"Commercial")+SUMIFS(#REF!,#REF!,"2020",#REF!,'App. 1 (App)'!$A38,#REF!,"Other Concessional")</f>
        <v>#REF!</v>
      </c>
      <c r="Q38" s="10" t="e">
        <f>SUMIFS(#REF!,#REF!,"2020",#REF!,'App. 1 (App)'!$A38,#REF!,"TA Cofinancing",#REF!,"Official")+SUMIFS(#REF!,#REF!,"2020",#REF!,'App. 1 (App)'!$A38,#REF!,"TA Cofinancing",#REF!,"Other Concessional")</f>
        <v>#REF!</v>
      </c>
      <c r="R38" s="11" t="e">
        <f t="shared" si="7"/>
        <v>#REF!</v>
      </c>
      <c r="U38" s="9" t="s">
        <v>212</v>
      </c>
      <c r="V38" s="10" t="e">
        <f t="shared" si="1"/>
        <v>#REF!</v>
      </c>
      <c r="W38" s="10" t="e">
        <f t="shared" si="2"/>
        <v>#REF!</v>
      </c>
      <c r="X38" s="10" t="e">
        <f t="shared" si="3"/>
        <v>#REF!</v>
      </c>
      <c r="Y38" s="10" t="e">
        <f t="shared" si="3"/>
        <v>#REF!</v>
      </c>
      <c r="Z38" s="10" t="e">
        <f t="shared" si="4"/>
        <v>#REF!</v>
      </c>
      <c r="AA38" s="10" t="e">
        <f t="shared" si="8"/>
        <v>#REF!</v>
      </c>
      <c r="AB38" s="10" t="e">
        <f t="shared" si="23"/>
        <v>#REF!</v>
      </c>
      <c r="AC38" s="10" t="e">
        <f t="shared" si="23"/>
        <v>#REF!</v>
      </c>
      <c r="AD38" s="10" t="e">
        <f t="shared" si="23"/>
        <v>#REF!</v>
      </c>
      <c r="AE38" s="10" t="e">
        <f t="shared" si="23"/>
        <v>#REF!</v>
      </c>
      <c r="AF38" s="10" t="e">
        <f t="shared" si="23"/>
        <v>#REF!</v>
      </c>
      <c r="AG38" s="11" t="e">
        <f t="shared" si="23"/>
        <v>#REF!</v>
      </c>
      <c r="AH38" s="10" t="e">
        <f t="shared" si="23"/>
        <v>#REF!</v>
      </c>
      <c r="AI38" s="10" t="e">
        <f t="shared" si="23"/>
        <v>#REF!</v>
      </c>
      <c r="AJ38" s="11" t="e">
        <f t="shared" si="23"/>
        <v>#REF!</v>
      </c>
      <c r="AL38" s="12" t="s">
        <v>213</v>
      </c>
      <c r="AM38" s="13" t="e">
        <f t="shared" si="18"/>
        <v>#REF!</v>
      </c>
      <c r="AP38" s="12" t="s">
        <v>29</v>
      </c>
      <c r="AQ38" s="14" t="e">
        <f t="shared" si="19"/>
        <v>#REF!</v>
      </c>
    </row>
    <row r="39" spans="1:43">
      <c r="A39" s="3" t="s">
        <v>214</v>
      </c>
      <c r="C39" s="9" t="s">
        <v>50</v>
      </c>
      <c r="D39" s="10" t="e">
        <f>SUMIFS(#REF!,#REF!,"2020",#REF!,'App. 1 (App)'!$A39,#REF!,"Loan",#REF!,"OCR")</f>
        <v>#REF!</v>
      </c>
      <c r="E39" s="10" t="e">
        <f>SUMIFS(#REF!,#REF!,"2020",#REF!,'App. 1 (App)'!$A39,#REF!,"Guarantee",#REF!,"OCR")</f>
        <v>#REF!</v>
      </c>
      <c r="F39" s="10" t="e">
        <f>SUMIFS(#REF!,#REF!,"2020",#REF!,'App. 1 (App)'!$A39,#REF!,"Equity",#REF!,"OCR")</f>
        <v>#REF!</v>
      </c>
      <c r="G39" s="10" t="e">
        <f>SUMIFS(#REF!,#REF!,"2020",#REF!,'App. 1 (App)'!$A39,#REF!,"MFP",#REF!,"OCR")</f>
        <v>#REF!</v>
      </c>
      <c r="H39" s="10" t="e">
        <f>SUMIFS(#REF!,#REF!,"2020",#REF!,'App. 1 (App)'!$A39,#REF!,"SCFP",#REF!,"OCR")</f>
        <v>#REF!</v>
      </c>
      <c r="I39" s="10" t="e">
        <f>SUMIFS(#REF!,#REF!,"2020",#REF!,'App. 1 (App)'!$A39,#REF!,"TFP",#REF!,"OCR")</f>
        <v>#REF!</v>
      </c>
      <c r="J39" s="10" t="e">
        <f>SUMIFS(#REF!,#REF!,"2020",#REF!,'App. 1 (App)'!$A39,#REF!,"Loan",#REF!,"ADF")+SUMIFS(#REF!,#REF!,"2020",#REF!,'App. 1 (App)'!$A39,#REF!,"Loan",#REF!,"COL")</f>
        <v>#REF!</v>
      </c>
      <c r="K39" s="10" t="e">
        <f>SUMIFS(#REF!,#REF!,"2020",#REF!,'App. 1 (App)'!$A39,#REF!,"Grant",#REF!,"ADF")</f>
        <v>#REF!</v>
      </c>
      <c r="L39" s="10" t="e">
        <f>SUMIFS(#REF!,#REF!,"2020",#REF!,'App. 1 (App)'!$A39,#REF!,"TA",#REF!,"ADB")</f>
        <v>#REF!</v>
      </c>
      <c r="M39" s="10" t="e">
        <f>SUMIFS(#REF!,#REF!,"2020",#REF!,'App. 1 (App)'!$A39,#REF!,"Grant",#REF!,"Special Fund")</f>
        <v>#REF!</v>
      </c>
      <c r="N39" s="10" t="e">
        <f>SUMIFS(#REF!,#REF!,"2020",#REF!,'App. 1 (App)'!$A39,#REF!,"TA",#REF!,"Special Fund")</f>
        <v>#REF!</v>
      </c>
      <c r="O39" s="11" t="e">
        <f t="shared" si="6"/>
        <v>#REF!</v>
      </c>
      <c r="P39" s="10" t="e">
        <f>SUMIFS(#REF!,#REF!,"2020",#REF!,'App. 1 (App)'!$A39,#REF!,"Official")-Q39+SUMIFS(#REF!,#REF!,"2020",#REF!,'App. 1 (App)'!$A39,#REF!,"Commercial")+SUMIFS(#REF!,#REF!,"2020",#REF!,'App. 1 (App)'!$A39,#REF!,"Other Concessional")</f>
        <v>#REF!</v>
      </c>
      <c r="Q39" s="10" t="e">
        <f>SUMIFS(#REF!,#REF!,"2020",#REF!,'App. 1 (App)'!$A39,#REF!,"TA Cofinancing",#REF!,"Official")+SUMIFS(#REF!,#REF!,"2020",#REF!,'App. 1 (App)'!$A39,#REF!,"TA Cofinancing",#REF!,"Other Concessional")</f>
        <v>#REF!</v>
      </c>
      <c r="R39" s="11" t="e">
        <f t="shared" si="7"/>
        <v>#REF!</v>
      </c>
      <c r="U39" s="9" t="s">
        <v>50</v>
      </c>
      <c r="V39" s="10" t="e">
        <f t="shared" si="1"/>
        <v>#REF!</v>
      </c>
      <c r="W39" s="10" t="e">
        <f t="shared" si="2"/>
        <v>#REF!</v>
      </c>
      <c r="X39" s="10" t="e">
        <f t="shared" si="3"/>
        <v>#REF!</v>
      </c>
      <c r="Y39" s="10" t="e">
        <f t="shared" si="3"/>
        <v>#REF!</v>
      </c>
      <c r="Z39" s="10" t="e">
        <f t="shared" si="4"/>
        <v>#REF!</v>
      </c>
      <c r="AA39" s="10" t="e">
        <f t="shared" si="8"/>
        <v>#REF!</v>
      </c>
      <c r="AB39" s="10" t="e">
        <f t="shared" si="23"/>
        <v>#REF!</v>
      </c>
      <c r="AC39" s="10" t="e">
        <f t="shared" si="23"/>
        <v>#REF!</v>
      </c>
      <c r="AD39" s="10" t="e">
        <f t="shared" si="23"/>
        <v>#REF!</v>
      </c>
      <c r="AE39" s="10" t="e">
        <f t="shared" si="23"/>
        <v>#REF!</v>
      </c>
      <c r="AF39" s="10" t="e">
        <f t="shared" si="23"/>
        <v>#REF!</v>
      </c>
      <c r="AG39" s="11" t="e">
        <f t="shared" si="23"/>
        <v>#REF!</v>
      </c>
      <c r="AH39" s="10" t="e">
        <f t="shared" si="23"/>
        <v>#REF!</v>
      </c>
      <c r="AI39" s="10" t="e">
        <f t="shared" si="23"/>
        <v>#REF!</v>
      </c>
      <c r="AJ39" s="11" t="e">
        <f t="shared" si="23"/>
        <v>#REF!</v>
      </c>
      <c r="AL39" s="12" t="s">
        <v>54</v>
      </c>
      <c r="AM39" s="13" t="e">
        <f t="shared" si="18"/>
        <v>#REF!</v>
      </c>
      <c r="AP39" s="12" t="s">
        <v>52</v>
      </c>
      <c r="AQ39" s="14" t="e">
        <f t="shared" si="19"/>
        <v>#REF!</v>
      </c>
    </row>
    <row r="40" spans="1:43">
      <c r="A40" s="3" t="s">
        <v>215</v>
      </c>
      <c r="C40" s="9" t="s">
        <v>52</v>
      </c>
      <c r="D40" s="10" t="e">
        <f>SUMIFS(#REF!,#REF!,"2020",#REF!,'App. 1 (App)'!$A40,#REF!,"Loan",#REF!,"OCR")</f>
        <v>#REF!</v>
      </c>
      <c r="E40" s="10" t="e">
        <f>SUMIFS(#REF!,#REF!,"2020",#REF!,'App. 1 (App)'!$A40,#REF!,"Guarantee",#REF!,"OCR")</f>
        <v>#REF!</v>
      </c>
      <c r="F40" s="10" t="e">
        <f>SUMIFS(#REF!,#REF!,"2020",#REF!,'App. 1 (App)'!$A40,#REF!,"Equity",#REF!,"OCR")</f>
        <v>#REF!</v>
      </c>
      <c r="G40" s="10" t="e">
        <f>SUMIFS(#REF!,#REF!,"2020",#REF!,'App. 1 (App)'!$A40,#REF!,"MFP",#REF!,"OCR")</f>
        <v>#REF!</v>
      </c>
      <c r="H40" s="10" t="e">
        <f>SUMIFS(#REF!,#REF!,"2020",#REF!,'App. 1 (App)'!$A40,#REF!,"SCFP",#REF!,"OCR")</f>
        <v>#REF!</v>
      </c>
      <c r="I40" s="10" t="e">
        <f>SUMIFS(#REF!,#REF!,"2020",#REF!,'App. 1 (App)'!$A40,#REF!,"TFP",#REF!,"OCR")</f>
        <v>#REF!</v>
      </c>
      <c r="J40" s="10" t="e">
        <f>SUMIFS(#REF!,#REF!,"2020",#REF!,'App. 1 (App)'!$A40,#REF!,"Loan",#REF!,"ADF")+SUMIFS(#REF!,#REF!,"2020",#REF!,'App. 1 (App)'!$A40,#REF!,"Loan",#REF!,"COL")</f>
        <v>#REF!</v>
      </c>
      <c r="K40" s="10" t="e">
        <f>SUMIFS(#REF!,#REF!,"2020",#REF!,'App. 1 (App)'!$A40,#REF!,"Grant",#REF!,"ADF")</f>
        <v>#REF!</v>
      </c>
      <c r="L40" s="10" t="e">
        <f>SUMIFS(#REF!,#REF!,"2020",#REF!,'App. 1 (App)'!$A40,#REF!,"TA",#REF!,"ADB")</f>
        <v>#REF!</v>
      </c>
      <c r="M40" s="10" t="e">
        <f>SUMIFS(#REF!,#REF!,"2020",#REF!,'App. 1 (App)'!$A40,#REF!,"Grant",#REF!,"Special Fund")</f>
        <v>#REF!</v>
      </c>
      <c r="N40" s="10" t="e">
        <f>SUMIFS(#REF!,#REF!,"2020",#REF!,'App. 1 (App)'!$A40,#REF!,"TA",#REF!,"Special Fund")</f>
        <v>#REF!</v>
      </c>
      <c r="O40" s="11" t="e">
        <f t="shared" si="6"/>
        <v>#REF!</v>
      </c>
      <c r="P40" s="10" t="e">
        <f>SUMIFS(#REF!,#REF!,"2020",#REF!,'App. 1 (App)'!$A40,#REF!,"Official")-Q40+SUMIFS(#REF!,#REF!,"2020",#REF!,'App. 1 (App)'!$A40,#REF!,"Commercial")+SUMIFS(#REF!,#REF!,"2020",#REF!,'App. 1 (App)'!$A40,#REF!,"Other Concessional")</f>
        <v>#REF!</v>
      </c>
      <c r="Q40" s="10" t="e">
        <f>SUMIFS(#REF!,#REF!,"2020",#REF!,'App. 1 (App)'!$A40,#REF!,"TA Cofinancing",#REF!,"Official")+SUMIFS(#REF!,#REF!,"2020",#REF!,'App. 1 (App)'!$A40,#REF!,"TA Cofinancing",#REF!,"Other Concessional")</f>
        <v>#REF!</v>
      </c>
      <c r="R40" s="11" t="e">
        <f t="shared" si="7"/>
        <v>#REF!</v>
      </c>
      <c r="U40" s="9" t="s">
        <v>52</v>
      </c>
      <c r="V40" s="10" t="e">
        <f t="shared" si="1"/>
        <v>#REF!</v>
      </c>
      <c r="W40" s="10" t="e">
        <f t="shared" si="2"/>
        <v>#REF!</v>
      </c>
      <c r="X40" s="10" t="e">
        <f t="shared" si="3"/>
        <v>#REF!</v>
      </c>
      <c r="Y40" s="10" t="e">
        <f t="shared" si="3"/>
        <v>#REF!</v>
      </c>
      <c r="Z40" s="10" t="e">
        <f t="shared" si="4"/>
        <v>#REF!</v>
      </c>
      <c r="AA40" s="10" t="e">
        <f t="shared" si="8"/>
        <v>#REF!</v>
      </c>
      <c r="AB40" s="10" t="e">
        <f t="shared" si="23"/>
        <v>#REF!</v>
      </c>
      <c r="AC40" s="10" t="e">
        <f t="shared" si="23"/>
        <v>#REF!</v>
      </c>
      <c r="AD40" s="10" t="e">
        <f t="shared" si="23"/>
        <v>#REF!</v>
      </c>
      <c r="AE40" s="10" t="e">
        <f t="shared" si="23"/>
        <v>#REF!</v>
      </c>
      <c r="AF40" s="10" t="e">
        <f t="shared" si="23"/>
        <v>#REF!</v>
      </c>
      <c r="AG40" s="11" t="e">
        <f t="shared" si="23"/>
        <v>#REF!</v>
      </c>
      <c r="AH40" s="10" t="e">
        <f t="shared" si="23"/>
        <v>#REF!</v>
      </c>
      <c r="AI40" s="10" t="e">
        <f t="shared" si="23"/>
        <v>#REF!</v>
      </c>
      <c r="AJ40" s="11" t="e">
        <f t="shared" si="23"/>
        <v>#REF!</v>
      </c>
      <c r="AL40" s="12" t="s">
        <v>21</v>
      </c>
      <c r="AM40" s="13" t="e">
        <f t="shared" si="18"/>
        <v>#REF!</v>
      </c>
      <c r="AP40" s="12" t="s">
        <v>45</v>
      </c>
      <c r="AQ40" s="14" t="e">
        <f t="shared" si="19"/>
        <v>#REF!</v>
      </c>
    </row>
    <row r="41" spans="1:43">
      <c r="A41" s="3" t="s">
        <v>216</v>
      </c>
      <c r="C41" s="15" t="s">
        <v>54</v>
      </c>
      <c r="D41" s="10" t="e">
        <f>SUMIFS(#REF!,#REF!,"2020",#REF!,'App. 1 (App)'!$A41,#REF!,"Loan",#REF!,"OCR")</f>
        <v>#REF!</v>
      </c>
      <c r="E41" s="10" t="e">
        <f>SUMIFS(#REF!,#REF!,"2020",#REF!,'App. 1 (App)'!$A41,#REF!,"Guarantee",#REF!,"OCR")</f>
        <v>#REF!</v>
      </c>
      <c r="F41" s="10" t="e">
        <f>SUMIFS(#REF!,#REF!,"2020",#REF!,'App. 1 (App)'!$A41,#REF!,"Equity",#REF!,"OCR")</f>
        <v>#REF!</v>
      </c>
      <c r="G41" s="10" t="e">
        <f>SUMIFS(#REF!,#REF!,"2020",#REF!,'App. 1 (App)'!$A41,#REF!,"MFP",#REF!,"OCR")</f>
        <v>#REF!</v>
      </c>
      <c r="H41" s="10" t="e">
        <f>SUMIFS(#REF!,#REF!,"2020",#REF!,'App. 1 (App)'!$A41,#REF!,"SCFP",#REF!,"OCR")</f>
        <v>#REF!</v>
      </c>
      <c r="I41" s="10" t="e">
        <f>SUMIFS(#REF!,#REF!,"2020",#REF!,'App. 1 (App)'!$A41,#REF!,"TFP",#REF!,"OCR")</f>
        <v>#REF!</v>
      </c>
      <c r="J41" s="10" t="e">
        <f>SUMIFS(#REF!,#REF!,"2020",#REF!,'App. 1 (App)'!$A41,#REF!,"Loan",#REF!,"ADF")+SUMIFS(#REF!,#REF!,"2020",#REF!,'App. 1 (App)'!$A41,#REF!,"Loan",#REF!,"COL")</f>
        <v>#REF!</v>
      </c>
      <c r="K41" s="10" t="e">
        <f>SUMIFS(#REF!,#REF!,"2020",#REF!,'App. 1 (App)'!$A41,#REF!,"Grant",#REF!,"ADF")</f>
        <v>#REF!</v>
      </c>
      <c r="L41" s="10" t="e">
        <f>SUMIFS(#REF!,#REF!,"2020",#REF!,'App. 1 (App)'!$A41,#REF!,"TA",#REF!,"ADB")</f>
        <v>#REF!</v>
      </c>
      <c r="M41" s="10" t="e">
        <f>SUMIFS(#REF!,#REF!,"2020",#REF!,'App. 1 (App)'!$A41,#REF!,"Grant",#REF!,"Special Fund")</f>
        <v>#REF!</v>
      </c>
      <c r="N41" s="10" t="e">
        <f>SUMIFS(#REF!,#REF!,"2020",#REF!,'App. 1 (App)'!$A41,#REF!,"TA",#REF!,"Special Fund")</f>
        <v>#REF!</v>
      </c>
      <c r="O41" s="11" t="e">
        <f t="shared" si="6"/>
        <v>#REF!</v>
      </c>
      <c r="P41" s="10" t="e">
        <f>SUMIFS(#REF!,#REF!,"2020",#REF!,'App. 1 (App)'!$A41,#REF!,"Official")-Q41+SUMIFS(#REF!,#REF!,"2020",#REF!,'App. 1 (App)'!$A41,#REF!,"Commercial")+SUMIFS(#REF!,#REF!,"2020",#REF!,'App. 1 (App)'!$A41,#REF!,"Other Concessional")</f>
        <v>#REF!</v>
      </c>
      <c r="Q41" s="10" t="e">
        <f>SUMIFS(#REF!,#REF!,"2020",#REF!,'App. 1 (App)'!$A41,#REF!,"TA Cofinancing",#REF!,"Official")+SUMIFS(#REF!,#REF!,"2020",#REF!,'App. 1 (App)'!$A41,#REF!,"TA Cofinancing",#REF!,"Other Concessional")</f>
        <v>#REF!</v>
      </c>
      <c r="R41" s="11" t="e">
        <f t="shared" si="7"/>
        <v>#REF!</v>
      </c>
      <c r="U41" s="15" t="s">
        <v>54</v>
      </c>
      <c r="V41" s="10" t="e">
        <f t="shared" si="1"/>
        <v>#REF!</v>
      </c>
      <c r="W41" s="10" t="e">
        <f t="shared" si="2"/>
        <v>#REF!</v>
      </c>
      <c r="X41" s="10" t="e">
        <f t="shared" si="3"/>
        <v>#REF!</v>
      </c>
      <c r="Y41" s="10" t="e">
        <f t="shared" si="3"/>
        <v>#REF!</v>
      </c>
      <c r="Z41" s="10" t="e">
        <f t="shared" si="4"/>
        <v>#REF!</v>
      </c>
      <c r="AA41" s="10" t="e">
        <f t="shared" si="8"/>
        <v>#REF!</v>
      </c>
      <c r="AB41" s="10" t="e">
        <f t="shared" si="23"/>
        <v>#REF!</v>
      </c>
      <c r="AC41" s="10" t="e">
        <f t="shared" si="23"/>
        <v>#REF!</v>
      </c>
      <c r="AD41" s="10" t="e">
        <f t="shared" si="23"/>
        <v>#REF!</v>
      </c>
      <c r="AE41" s="10" t="e">
        <f t="shared" si="23"/>
        <v>#REF!</v>
      </c>
      <c r="AF41" s="10" t="e">
        <f t="shared" si="23"/>
        <v>#REF!</v>
      </c>
      <c r="AG41" s="16" t="e">
        <f t="shared" si="23"/>
        <v>#REF!</v>
      </c>
      <c r="AH41" s="10" t="e">
        <f t="shared" si="23"/>
        <v>#REF!</v>
      </c>
      <c r="AI41" s="10" t="e">
        <f t="shared" si="23"/>
        <v>#REF!</v>
      </c>
      <c r="AJ41" s="16" t="e">
        <f t="shared" si="23"/>
        <v>#REF!</v>
      </c>
      <c r="AL41" s="12" t="s">
        <v>34</v>
      </c>
      <c r="AM41" s="13" t="e">
        <f t="shared" si="18"/>
        <v>#REF!</v>
      </c>
      <c r="AP41" s="12" t="s">
        <v>213</v>
      </c>
      <c r="AQ41" s="14" t="e">
        <f t="shared" si="19"/>
        <v>#REF!</v>
      </c>
    </row>
    <row r="42" spans="1:43" ht="15">
      <c r="C42" s="6" t="s">
        <v>217</v>
      </c>
      <c r="D42" s="7" t="e">
        <f>SUM(D43:D50)</f>
        <v>#REF!</v>
      </c>
      <c r="E42" s="7" t="e">
        <f t="shared" ref="E42:Q42" si="25">SUM(E43:E50)</f>
        <v>#REF!</v>
      </c>
      <c r="F42" s="7" t="e">
        <f t="shared" si="25"/>
        <v>#REF!</v>
      </c>
      <c r="G42" s="7" t="e">
        <f t="shared" si="25"/>
        <v>#REF!</v>
      </c>
      <c r="H42" s="7" t="e">
        <f t="shared" si="25"/>
        <v>#REF!</v>
      </c>
      <c r="I42" s="7" t="e">
        <f t="shared" si="25"/>
        <v>#REF!</v>
      </c>
      <c r="J42" s="7" t="e">
        <f t="shared" si="25"/>
        <v>#REF!</v>
      </c>
      <c r="K42" s="7" t="e">
        <f t="shared" si="25"/>
        <v>#REF!</v>
      </c>
      <c r="L42" s="7" t="e">
        <f t="shared" si="25"/>
        <v>#REF!</v>
      </c>
      <c r="M42" s="7" t="e">
        <f t="shared" si="25"/>
        <v>#REF!</v>
      </c>
      <c r="N42" s="7" t="e">
        <f t="shared" si="25"/>
        <v>#REF!</v>
      </c>
      <c r="O42" s="7" t="e">
        <f t="shared" si="6"/>
        <v>#REF!</v>
      </c>
      <c r="P42" s="7" t="e">
        <f t="shared" si="25"/>
        <v>#REF!</v>
      </c>
      <c r="Q42" s="7" t="e">
        <f t="shared" si="25"/>
        <v>#REF!</v>
      </c>
      <c r="R42" s="7" t="e">
        <f t="shared" si="7"/>
        <v>#REF!</v>
      </c>
      <c r="U42" s="6" t="s">
        <v>217</v>
      </c>
      <c r="V42" s="7" t="e">
        <f t="shared" si="1"/>
        <v>#REF!</v>
      </c>
      <c r="W42" s="7" t="e">
        <f t="shared" si="2"/>
        <v>#REF!</v>
      </c>
      <c r="X42" s="7" t="e">
        <f t="shared" si="3"/>
        <v>#REF!</v>
      </c>
      <c r="Y42" s="7" t="e">
        <f t="shared" si="3"/>
        <v>#REF!</v>
      </c>
      <c r="Z42" s="7" t="e">
        <f t="shared" si="4"/>
        <v>#REF!</v>
      </c>
      <c r="AA42" s="7" t="e">
        <f t="shared" si="8"/>
        <v>#REF!</v>
      </c>
      <c r="AB42" s="7" t="e">
        <f t="shared" si="23"/>
        <v>#REF!</v>
      </c>
      <c r="AC42" s="7" t="e">
        <f t="shared" si="23"/>
        <v>#REF!</v>
      </c>
      <c r="AD42" s="7" t="e">
        <f t="shared" si="23"/>
        <v>#REF!</v>
      </c>
      <c r="AE42" s="7" t="e">
        <f t="shared" si="23"/>
        <v>#REF!</v>
      </c>
      <c r="AF42" s="7" t="e">
        <f t="shared" si="23"/>
        <v>#REF!</v>
      </c>
      <c r="AG42" s="7" t="e">
        <f t="shared" si="23"/>
        <v>#REF!</v>
      </c>
      <c r="AH42" s="7" t="e">
        <f t="shared" si="23"/>
        <v>#REF!</v>
      </c>
      <c r="AI42" s="7" t="e">
        <f t="shared" si="23"/>
        <v>#REF!</v>
      </c>
      <c r="AJ42" s="7" t="e">
        <f t="shared" si="23"/>
        <v>#REF!</v>
      </c>
      <c r="AL42" s="12" t="s">
        <v>52</v>
      </c>
      <c r="AM42" s="13" t="e">
        <f t="shared" si="18"/>
        <v>#REF!</v>
      </c>
      <c r="AP42" s="12" t="s">
        <v>36</v>
      </c>
      <c r="AQ42" s="14" t="e">
        <f t="shared" si="19"/>
        <v>#REF!</v>
      </c>
    </row>
    <row r="43" spans="1:43">
      <c r="A43" s="3" t="s">
        <v>218</v>
      </c>
      <c r="C43" s="9" t="s">
        <v>15</v>
      </c>
      <c r="D43" s="10" t="e">
        <f>SUMIFS(#REF!,#REF!,"2020",#REF!,'App. 1 (App)'!$A43,#REF!,"Loan",#REF!,"OCR")</f>
        <v>#REF!</v>
      </c>
      <c r="E43" s="10" t="e">
        <f>SUMIFS(#REF!,#REF!,"2020",#REF!,'App. 1 (App)'!$A43,#REF!,"Guarantee",#REF!,"OCR")</f>
        <v>#REF!</v>
      </c>
      <c r="F43" s="10" t="e">
        <f>SUMIFS(#REF!,#REF!,"2020",#REF!,'App. 1 (App)'!$A43,#REF!,"Equity",#REF!,"OCR")</f>
        <v>#REF!</v>
      </c>
      <c r="G43" s="10" t="e">
        <f>SUMIFS(#REF!,#REF!,"2020",#REF!,'App. 1 (App)'!$A43,#REF!,"MFP",#REF!,"OCR")</f>
        <v>#REF!</v>
      </c>
      <c r="H43" s="10" t="e">
        <f>SUMIFS(#REF!,#REF!,"2020",#REF!,'App. 1 (App)'!$A43,#REF!,"SCFP",#REF!,"OCR")</f>
        <v>#REF!</v>
      </c>
      <c r="I43" s="10" t="e">
        <f>SUMIFS(#REF!,#REF!,"2020",#REF!,'App. 1 (App)'!$A43,#REF!,"TFP",#REF!,"OCR")</f>
        <v>#REF!</v>
      </c>
      <c r="J43" s="10" t="e">
        <f>SUMIFS(#REF!,#REF!,"2020",#REF!,'App. 1 (App)'!$A43,#REF!,"Loan",#REF!,"ADF")+SUMIFS(#REF!,#REF!,"2020",#REF!,'App. 1 (App)'!$A43,#REF!,"Loan",#REF!,"COL")</f>
        <v>#REF!</v>
      </c>
      <c r="K43" s="10" t="e">
        <f>SUMIFS(#REF!,#REF!,"2020",#REF!,'App. 1 (App)'!$A43,#REF!,"Grant",#REF!,"ADF")</f>
        <v>#REF!</v>
      </c>
      <c r="L43" s="10" t="e">
        <f>SUMIFS(#REF!,#REF!,"2020",#REF!,'App. 1 (App)'!$A43,#REF!,"TA",#REF!,"ADB")</f>
        <v>#REF!</v>
      </c>
      <c r="M43" s="10" t="e">
        <f>SUMIFS(#REF!,#REF!,"2020",#REF!,'App. 1 (App)'!$A43,#REF!,"Grant",#REF!,"Special Fund")</f>
        <v>#REF!</v>
      </c>
      <c r="N43" s="10" t="e">
        <f>SUMIFS(#REF!,#REF!,"2020",#REF!,'App. 1 (App)'!$A43,#REF!,"TA",#REF!,"Special Fund")</f>
        <v>#REF!</v>
      </c>
      <c r="O43" s="11" t="e">
        <f t="shared" si="6"/>
        <v>#REF!</v>
      </c>
      <c r="P43" s="10" t="e">
        <f>SUMIFS(#REF!,#REF!,"2020",#REF!,'App. 1 (App)'!$A43,#REF!,"Official")-Q43+SUMIFS(#REF!,#REF!,"2020",#REF!,'App. 1 (App)'!$A43,#REF!,"Commercial")+SUMIFS(#REF!,#REF!,"2020",#REF!,'App. 1 (App)'!$A43,#REF!,"Other Concessional")</f>
        <v>#REF!</v>
      </c>
      <c r="Q43" s="10" t="e">
        <f>SUMIFS(#REF!,#REF!,"2020",#REF!,'App. 1 (App)'!$A43,#REF!,"TA Cofinancing",#REF!,"Official")+SUMIFS(#REF!,#REF!,"2020",#REF!,'App. 1 (App)'!$A43,#REF!,"TA Cofinancing",#REF!,"Other Concessional")</f>
        <v>#REF!</v>
      </c>
      <c r="R43" s="11" t="e">
        <f t="shared" si="7"/>
        <v>#REF!</v>
      </c>
      <c r="U43" s="9" t="s">
        <v>15</v>
      </c>
      <c r="V43" s="10" t="e">
        <f t="shared" si="1"/>
        <v>#REF!</v>
      </c>
      <c r="W43" s="10" t="e">
        <f t="shared" si="2"/>
        <v>#REF!</v>
      </c>
      <c r="X43" s="10" t="e">
        <f t="shared" si="3"/>
        <v>#REF!</v>
      </c>
      <c r="Y43" s="10" t="e">
        <f t="shared" si="3"/>
        <v>#REF!</v>
      </c>
      <c r="Z43" s="10" t="e">
        <f t="shared" si="4"/>
        <v>#REF!</v>
      </c>
      <c r="AA43" s="10" t="e">
        <f t="shared" si="8"/>
        <v>#REF!</v>
      </c>
      <c r="AB43" s="10" t="e">
        <f t="shared" si="23"/>
        <v>#REF!</v>
      </c>
      <c r="AC43" s="10" t="e">
        <f t="shared" si="23"/>
        <v>#REF!</v>
      </c>
      <c r="AD43" s="10" t="e">
        <f t="shared" si="23"/>
        <v>#REF!</v>
      </c>
      <c r="AE43" s="10" t="e">
        <f t="shared" si="23"/>
        <v>#REF!</v>
      </c>
      <c r="AF43" s="10" t="e">
        <f t="shared" si="23"/>
        <v>#REF!</v>
      </c>
      <c r="AG43" s="11" t="e">
        <f t="shared" si="23"/>
        <v>#REF!</v>
      </c>
      <c r="AH43" s="10" t="e">
        <f t="shared" si="23"/>
        <v>#REF!</v>
      </c>
      <c r="AI43" s="10" t="e">
        <f t="shared" si="23"/>
        <v>#REF!</v>
      </c>
      <c r="AJ43" s="11" t="e">
        <f t="shared" si="23"/>
        <v>#REF!</v>
      </c>
      <c r="AL43" s="12" t="s">
        <v>36</v>
      </c>
      <c r="AM43" s="13" t="e">
        <f t="shared" si="18"/>
        <v>#REF!</v>
      </c>
      <c r="AP43" s="12" t="s">
        <v>219</v>
      </c>
      <c r="AQ43" s="14" t="e">
        <f t="shared" si="19"/>
        <v>#REF!</v>
      </c>
    </row>
    <row r="44" spans="1:43">
      <c r="A44" s="3" t="s">
        <v>220</v>
      </c>
      <c r="C44" s="9" t="s">
        <v>26</v>
      </c>
      <c r="D44" s="10" t="e">
        <f>SUMIFS(#REF!,#REF!,"2020",#REF!,'App. 1 (App)'!$A44,#REF!,"Loan",#REF!,"OCR")</f>
        <v>#REF!</v>
      </c>
      <c r="E44" s="10" t="e">
        <f>SUMIFS(#REF!,#REF!,"2020",#REF!,'App. 1 (App)'!$A44,#REF!,"Guarantee",#REF!,"OCR")</f>
        <v>#REF!</v>
      </c>
      <c r="F44" s="10" t="e">
        <f>SUMIFS(#REF!,#REF!,"2020",#REF!,'App. 1 (App)'!$A44,#REF!,"Equity",#REF!,"OCR")</f>
        <v>#REF!</v>
      </c>
      <c r="G44" s="10" t="e">
        <f>SUMIFS(#REF!,#REF!,"2020",#REF!,'App. 1 (App)'!$A44,#REF!,"MFP",#REF!,"OCR")</f>
        <v>#REF!</v>
      </c>
      <c r="H44" s="10" t="e">
        <f>SUMIFS(#REF!,#REF!,"2020",#REF!,'App. 1 (App)'!$A44,#REF!,"SCFP",#REF!,"OCR")</f>
        <v>#REF!</v>
      </c>
      <c r="I44" s="10" t="e">
        <f>SUMIFS(#REF!,#REF!,"2020",#REF!,'App. 1 (App)'!$A44,#REF!,"TFP",#REF!,"OCR")</f>
        <v>#REF!</v>
      </c>
      <c r="J44" s="10" t="e">
        <f>SUMIFS(#REF!,#REF!,"2020",#REF!,'App. 1 (App)'!$A44,#REF!,"Loan",#REF!,"ADF")+SUMIFS(#REF!,#REF!,"2020",#REF!,'App. 1 (App)'!$A44,#REF!,"Loan",#REF!,"COL")</f>
        <v>#REF!</v>
      </c>
      <c r="K44" s="10" t="e">
        <f>SUMIFS(#REF!,#REF!,"2020",#REF!,'App. 1 (App)'!$A44,#REF!,"Grant",#REF!,"ADF")</f>
        <v>#REF!</v>
      </c>
      <c r="L44" s="10" t="e">
        <f>SUMIFS(#REF!,#REF!,"2020",#REF!,'App. 1 (App)'!$A44,#REF!,"TA",#REF!,"ADB")</f>
        <v>#REF!</v>
      </c>
      <c r="M44" s="10" t="e">
        <f>SUMIFS(#REF!,#REF!,"2020",#REF!,'App. 1 (App)'!$A44,#REF!,"Grant",#REF!,"Special Fund")</f>
        <v>#REF!</v>
      </c>
      <c r="N44" s="10" t="e">
        <f>SUMIFS(#REF!,#REF!,"2020",#REF!,'App. 1 (App)'!$A44,#REF!,"TA",#REF!,"Special Fund")</f>
        <v>#REF!</v>
      </c>
      <c r="O44" s="11" t="e">
        <f t="shared" si="6"/>
        <v>#REF!</v>
      </c>
      <c r="P44" s="10" t="e">
        <f>SUMIFS(#REF!,#REF!,"2020",#REF!,'App. 1 (App)'!$A44,#REF!,"Official")-Q44+SUMIFS(#REF!,#REF!,"2020",#REF!,'App. 1 (App)'!$A44,#REF!,"Commercial")+SUMIFS(#REF!,#REF!,"2020",#REF!,'App. 1 (App)'!$A44,#REF!,"Other Concessional")</f>
        <v>#REF!</v>
      </c>
      <c r="Q44" s="10" t="e">
        <f>SUMIFS(#REF!,#REF!,"2020",#REF!,'App. 1 (App)'!$A44,#REF!,"TA Cofinancing",#REF!,"Official")+SUMIFS(#REF!,#REF!,"2020",#REF!,'App. 1 (App)'!$A44,#REF!,"TA Cofinancing",#REF!,"Other Concessional")</f>
        <v>#REF!</v>
      </c>
      <c r="R44" s="11" t="e">
        <f t="shared" si="7"/>
        <v>#REF!</v>
      </c>
      <c r="U44" s="9" t="s">
        <v>26</v>
      </c>
      <c r="V44" s="10" t="e">
        <f t="shared" si="1"/>
        <v>#REF!</v>
      </c>
      <c r="W44" s="10" t="e">
        <f t="shared" si="2"/>
        <v>#REF!</v>
      </c>
      <c r="X44" s="10" t="e">
        <f t="shared" si="3"/>
        <v>#REF!</v>
      </c>
      <c r="Y44" s="10" t="e">
        <f t="shared" si="3"/>
        <v>#REF!</v>
      </c>
      <c r="Z44" s="10" t="e">
        <f t="shared" si="4"/>
        <v>#REF!</v>
      </c>
      <c r="AA44" s="10" t="e">
        <f t="shared" si="8"/>
        <v>#REF!</v>
      </c>
      <c r="AB44" s="10" t="e">
        <f t="shared" si="23"/>
        <v>#REF!</v>
      </c>
      <c r="AC44" s="10" t="e">
        <f t="shared" si="23"/>
        <v>#REF!</v>
      </c>
      <c r="AD44" s="10" t="e">
        <f t="shared" si="23"/>
        <v>#REF!</v>
      </c>
      <c r="AE44" s="10" t="e">
        <f t="shared" si="23"/>
        <v>#REF!</v>
      </c>
      <c r="AF44" s="10" t="e">
        <f t="shared" si="23"/>
        <v>#REF!</v>
      </c>
      <c r="AG44" s="11" t="e">
        <f t="shared" si="23"/>
        <v>#REF!</v>
      </c>
      <c r="AH44" s="10" t="e">
        <f t="shared" si="23"/>
        <v>#REF!</v>
      </c>
      <c r="AI44" s="10" t="e">
        <f t="shared" si="23"/>
        <v>#REF!</v>
      </c>
      <c r="AJ44" s="11" t="e">
        <f t="shared" si="23"/>
        <v>#REF!</v>
      </c>
      <c r="AL44" s="12" t="s">
        <v>219</v>
      </c>
      <c r="AM44" s="13" t="e">
        <f t="shared" si="18"/>
        <v>#REF!</v>
      </c>
      <c r="AP44" s="12" t="s">
        <v>11</v>
      </c>
      <c r="AQ44" s="14" t="e">
        <f t="shared" si="19"/>
        <v>#REF!</v>
      </c>
    </row>
    <row r="45" spans="1:43">
      <c r="A45" s="3" t="s">
        <v>221</v>
      </c>
      <c r="C45" s="9" t="s">
        <v>213</v>
      </c>
      <c r="D45" s="10" t="e">
        <f>SUMIFS(#REF!,#REF!,"2020",#REF!,'App. 1 (App)'!$A45,#REF!,"Loan",#REF!,"OCR")</f>
        <v>#REF!</v>
      </c>
      <c r="E45" s="10" t="e">
        <f>SUMIFS(#REF!,#REF!,"2020",#REF!,'App. 1 (App)'!$A45,#REF!,"Guarantee",#REF!,"OCR")</f>
        <v>#REF!</v>
      </c>
      <c r="F45" s="10" t="e">
        <f>SUMIFS(#REF!,#REF!,"2020",#REF!,'App. 1 (App)'!$A45,#REF!,"Equity",#REF!,"OCR")</f>
        <v>#REF!</v>
      </c>
      <c r="G45" s="10" t="e">
        <f>SUMIFS(#REF!,#REF!,"2020",#REF!,'App. 1 (App)'!$A45,#REF!,"MFP",#REF!,"OCR")</f>
        <v>#REF!</v>
      </c>
      <c r="H45" s="10" t="e">
        <f>SUMIFS(#REF!,#REF!,"2020",#REF!,'App. 1 (App)'!$A45,#REF!,"SCFP",#REF!,"OCR")</f>
        <v>#REF!</v>
      </c>
      <c r="I45" s="10" t="e">
        <f>SUMIFS(#REF!,#REF!,"2020",#REF!,'App. 1 (App)'!$A45,#REF!,"TFP",#REF!,"OCR")</f>
        <v>#REF!</v>
      </c>
      <c r="J45" s="10" t="e">
        <f>SUMIFS(#REF!,#REF!,"2020",#REF!,'App. 1 (App)'!$A45,#REF!,"Loan",#REF!,"ADF")+SUMIFS(#REF!,#REF!,"2020",#REF!,'App. 1 (App)'!$A45,#REF!,"Loan",#REF!,"COL")</f>
        <v>#REF!</v>
      </c>
      <c r="K45" s="10" t="e">
        <f>SUMIFS(#REF!,#REF!,"2020",#REF!,'App. 1 (App)'!$A45,#REF!,"Grant",#REF!,"ADF")</f>
        <v>#REF!</v>
      </c>
      <c r="L45" s="10" t="e">
        <f>SUMIFS(#REF!,#REF!,"2020",#REF!,'App. 1 (App)'!$A45,#REF!,"TA",#REF!,"ADB")</f>
        <v>#REF!</v>
      </c>
      <c r="M45" s="10" t="e">
        <f>SUMIFS(#REF!,#REF!,"2020",#REF!,'App. 1 (App)'!$A45,#REF!,"Grant",#REF!,"Special Fund")</f>
        <v>#REF!</v>
      </c>
      <c r="N45" s="10" t="e">
        <f>SUMIFS(#REF!,#REF!,"2020",#REF!,'App. 1 (App)'!$A45,#REF!,"TA",#REF!,"Special Fund")</f>
        <v>#REF!</v>
      </c>
      <c r="O45" s="11" t="e">
        <f t="shared" si="6"/>
        <v>#REF!</v>
      </c>
      <c r="P45" s="10" t="e">
        <f>SUMIFS(#REF!,#REF!,"2020",#REF!,'App. 1 (App)'!$A45,#REF!,"Official")-Q45+SUMIFS(#REF!,#REF!,"2020",#REF!,'App. 1 (App)'!$A45,#REF!,"Commercial")+SUMIFS(#REF!,#REF!,"2020",#REF!,'App. 1 (App)'!$A45,#REF!,"Other Concessional")</f>
        <v>#REF!</v>
      </c>
      <c r="Q45" s="10" t="e">
        <f>SUMIFS(#REF!,#REF!,"2020",#REF!,'App. 1 (App)'!$A45,#REF!,"TA Cofinancing",#REF!,"Official")+SUMIFS(#REF!,#REF!,"2020",#REF!,'App. 1 (App)'!$A45,#REF!,"TA Cofinancing",#REF!,"Other Concessional")</f>
        <v>#REF!</v>
      </c>
      <c r="R45" s="11" t="e">
        <f t="shared" si="7"/>
        <v>#REF!</v>
      </c>
      <c r="U45" s="9" t="s">
        <v>213</v>
      </c>
      <c r="V45" s="10" t="e">
        <f t="shared" si="1"/>
        <v>#REF!</v>
      </c>
      <c r="W45" s="10" t="e">
        <f t="shared" si="2"/>
        <v>#REF!</v>
      </c>
      <c r="X45" s="10" t="e">
        <f t="shared" si="3"/>
        <v>#REF!</v>
      </c>
      <c r="Y45" s="10" t="e">
        <f t="shared" si="3"/>
        <v>#REF!</v>
      </c>
      <c r="Z45" s="10" t="e">
        <f t="shared" si="4"/>
        <v>#REF!</v>
      </c>
      <c r="AA45" s="10" t="e">
        <f t="shared" si="8"/>
        <v>#REF!</v>
      </c>
      <c r="AB45" s="10" t="e">
        <f t="shared" si="23"/>
        <v>#REF!</v>
      </c>
      <c r="AC45" s="10" t="e">
        <f t="shared" si="23"/>
        <v>#REF!</v>
      </c>
      <c r="AD45" s="10" t="e">
        <f t="shared" si="23"/>
        <v>#REF!</v>
      </c>
      <c r="AE45" s="10" t="e">
        <f t="shared" si="23"/>
        <v>#REF!</v>
      </c>
      <c r="AF45" s="10" t="e">
        <f t="shared" si="23"/>
        <v>#REF!</v>
      </c>
      <c r="AG45" s="11" t="e">
        <f t="shared" si="23"/>
        <v>#REF!</v>
      </c>
      <c r="AH45" s="10" t="e">
        <f t="shared" si="23"/>
        <v>#REF!</v>
      </c>
      <c r="AI45" s="10" t="e">
        <f t="shared" si="23"/>
        <v>#REF!</v>
      </c>
      <c r="AJ45" s="11" t="e">
        <f t="shared" si="23"/>
        <v>#REF!</v>
      </c>
      <c r="AL45" s="12" t="s">
        <v>11</v>
      </c>
      <c r="AM45" s="13" t="e">
        <f t="shared" si="18"/>
        <v>#REF!</v>
      </c>
      <c r="AP45" s="3" t="s">
        <v>51</v>
      </c>
      <c r="AQ45" s="14" t="e">
        <f t="shared" si="19"/>
        <v>#REF!</v>
      </c>
    </row>
    <row r="46" spans="1:43">
      <c r="A46" s="3" t="s">
        <v>222</v>
      </c>
      <c r="C46" s="9" t="s">
        <v>32</v>
      </c>
      <c r="D46" s="10" t="e">
        <f>SUMIFS(#REF!,#REF!,"2020",#REF!,'App. 1 (App)'!$A46,#REF!,"Loan",#REF!,"OCR")</f>
        <v>#REF!</v>
      </c>
      <c r="E46" s="10" t="e">
        <f>SUMIFS(#REF!,#REF!,"2020",#REF!,'App. 1 (App)'!$A46,#REF!,"Guarantee",#REF!,"OCR")</f>
        <v>#REF!</v>
      </c>
      <c r="F46" s="10" t="e">
        <f>SUMIFS(#REF!,#REF!,"2020",#REF!,'App. 1 (App)'!$A46,#REF!,"Equity",#REF!,"OCR")</f>
        <v>#REF!</v>
      </c>
      <c r="G46" s="10" t="e">
        <f>SUMIFS(#REF!,#REF!,"2020",#REF!,'App. 1 (App)'!$A46,#REF!,"MFP",#REF!,"OCR")</f>
        <v>#REF!</v>
      </c>
      <c r="H46" s="10" t="e">
        <f>SUMIFS(#REF!,#REF!,"2020",#REF!,'App. 1 (App)'!$A46,#REF!,"SCFP",#REF!,"OCR")</f>
        <v>#REF!</v>
      </c>
      <c r="I46" s="10" t="e">
        <f>SUMIFS(#REF!,#REF!,"2020",#REF!,'App. 1 (App)'!$A46,#REF!,"TFP",#REF!,"OCR")</f>
        <v>#REF!</v>
      </c>
      <c r="J46" s="10" t="e">
        <f>SUMIFS(#REF!,#REF!,"2020",#REF!,'App. 1 (App)'!$A46,#REF!,"Loan",#REF!,"ADF")+SUMIFS(#REF!,#REF!,"2020",#REF!,'App. 1 (App)'!$A46,#REF!,"Loan",#REF!,"COL")</f>
        <v>#REF!</v>
      </c>
      <c r="K46" s="10" t="e">
        <f>SUMIFS(#REF!,#REF!,"2020",#REF!,'App. 1 (App)'!$A46,#REF!,"Grant",#REF!,"ADF")</f>
        <v>#REF!</v>
      </c>
      <c r="L46" s="10" t="e">
        <f>SUMIFS(#REF!,#REF!,"2020",#REF!,'App. 1 (App)'!$A46,#REF!,"TA",#REF!,"ADB")</f>
        <v>#REF!</v>
      </c>
      <c r="M46" s="10" t="e">
        <f>SUMIFS(#REF!,#REF!,"2020",#REF!,'App. 1 (App)'!$A46,#REF!,"Grant",#REF!,"Special Fund")</f>
        <v>#REF!</v>
      </c>
      <c r="N46" s="10" t="e">
        <f>SUMIFS(#REF!,#REF!,"2020",#REF!,'App. 1 (App)'!$A46,#REF!,"TA",#REF!,"Special Fund")</f>
        <v>#REF!</v>
      </c>
      <c r="O46" s="11" t="e">
        <f t="shared" si="6"/>
        <v>#REF!</v>
      </c>
      <c r="P46" s="10" t="e">
        <f>SUMIFS(#REF!,#REF!,"2020",#REF!,'App. 1 (App)'!$A46,#REF!,"Official")-Q46+SUMIFS(#REF!,#REF!,"2020",#REF!,'App. 1 (App)'!$A46,#REF!,"Commercial")+SUMIFS(#REF!,#REF!,"2020",#REF!,'App. 1 (App)'!$A46,#REF!,"Other Concessional")</f>
        <v>#REF!</v>
      </c>
      <c r="Q46" s="10" t="e">
        <f>SUMIFS(#REF!,#REF!,"2020",#REF!,'App. 1 (App)'!$A46,#REF!,"TA Cofinancing",#REF!,"Official")+SUMIFS(#REF!,#REF!,"2020",#REF!,'App. 1 (App)'!$A46,#REF!,"TA Cofinancing",#REF!,"Other Concessional")</f>
        <v>#REF!</v>
      </c>
      <c r="R46" s="11" t="e">
        <f t="shared" si="7"/>
        <v>#REF!</v>
      </c>
      <c r="U46" s="9" t="s">
        <v>32</v>
      </c>
      <c r="V46" s="10" t="e">
        <f t="shared" si="1"/>
        <v>#REF!</v>
      </c>
      <c r="W46" s="10" t="e">
        <f t="shared" si="2"/>
        <v>#REF!</v>
      </c>
      <c r="X46" s="10" t="e">
        <f t="shared" si="3"/>
        <v>#REF!</v>
      </c>
      <c r="Y46" s="10" t="e">
        <f t="shared" si="3"/>
        <v>#REF!</v>
      </c>
      <c r="Z46" s="10" t="e">
        <f t="shared" si="4"/>
        <v>#REF!</v>
      </c>
      <c r="AA46" s="10" t="e">
        <f t="shared" si="8"/>
        <v>#REF!</v>
      </c>
      <c r="AB46" s="10" t="e">
        <f t="shared" si="23"/>
        <v>#REF!</v>
      </c>
      <c r="AC46" s="10" t="e">
        <f t="shared" si="23"/>
        <v>#REF!</v>
      </c>
      <c r="AD46" s="10" t="e">
        <f t="shared" si="23"/>
        <v>#REF!</v>
      </c>
      <c r="AE46" s="10" t="e">
        <f t="shared" si="23"/>
        <v>#REF!</v>
      </c>
      <c r="AF46" s="10" t="e">
        <f t="shared" si="23"/>
        <v>#REF!</v>
      </c>
      <c r="AG46" s="11" t="e">
        <f t="shared" si="23"/>
        <v>#REF!</v>
      </c>
      <c r="AH46" s="10" t="e">
        <f t="shared" si="23"/>
        <v>#REF!</v>
      </c>
      <c r="AI46" s="10" t="e">
        <f t="shared" si="23"/>
        <v>#REF!</v>
      </c>
      <c r="AJ46" s="11" t="e">
        <f t="shared" si="23"/>
        <v>#REF!</v>
      </c>
      <c r="AL46" s="3" t="s">
        <v>51</v>
      </c>
      <c r="AM46" s="13" t="e">
        <f t="shared" si="18"/>
        <v>#REF!</v>
      </c>
      <c r="AP46" s="12" t="s">
        <v>38</v>
      </c>
      <c r="AQ46" s="14" t="e">
        <f t="shared" si="19"/>
        <v>#REF!</v>
      </c>
    </row>
    <row r="47" spans="1:43">
      <c r="A47" s="3" t="s">
        <v>223</v>
      </c>
      <c r="C47" s="9" t="s">
        <v>109</v>
      </c>
      <c r="D47" s="10" t="e">
        <f>SUMIFS(#REF!,#REF!,"2020",#REF!,'App. 1 (App)'!$A47,#REF!,"Loan",#REF!,"OCR")</f>
        <v>#REF!</v>
      </c>
      <c r="E47" s="10" t="e">
        <f>SUMIFS(#REF!,#REF!,"2020",#REF!,'App. 1 (App)'!$A47,#REF!,"Guarantee",#REF!,"OCR")</f>
        <v>#REF!</v>
      </c>
      <c r="F47" s="10" t="e">
        <f>SUMIFS(#REF!,#REF!,"2020",#REF!,'App. 1 (App)'!$A47,#REF!,"Equity",#REF!,"OCR")</f>
        <v>#REF!</v>
      </c>
      <c r="G47" s="10" t="e">
        <f>SUMIFS(#REF!,#REF!,"2020",#REF!,'App. 1 (App)'!$A47,#REF!,"MFP",#REF!,"OCR")</f>
        <v>#REF!</v>
      </c>
      <c r="H47" s="10" t="e">
        <f>SUMIFS(#REF!,#REF!,"2020",#REF!,'App. 1 (App)'!$A47,#REF!,"SCFP",#REF!,"OCR")</f>
        <v>#REF!</v>
      </c>
      <c r="I47" s="10" t="e">
        <f>SUMIFS(#REF!,#REF!,"2020",#REF!,'App. 1 (App)'!$A47,#REF!,"TFP",#REF!,"OCR")</f>
        <v>#REF!</v>
      </c>
      <c r="J47" s="10" t="e">
        <f>SUMIFS(#REF!,#REF!,"2020",#REF!,'App. 1 (App)'!$A47,#REF!,"Loan",#REF!,"ADF")+SUMIFS(#REF!,#REF!,"2020",#REF!,'App. 1 (App)'!$A47,#REF!,"Loan",#REF!,"COL")</f>
        <v>#REF!</v>
      </c>
      <c r="K47" s="10" t="e">
        <f>SUMIFS(#REF!,#REF!,"2020",#REF!,'App. 1 (App)'!$A47,#REF!,"Grant",#REF!,"ADF")</f>
        <v>#REF!</v>
      </c>
      <c r="L47" s="10" t="e">
        <f>SUMIFS(#REF!,#REF!,"2020",#REF!,'App. 1 (App)'!$A47,#REF!,"TA",#REF!,"ADB")</f>
        <v>#REF!</v>
      </c>
      <c r="M47" s="10" t="e">
        <f>SUMIFS(#REF!,#REF!,"2020",#REF!,'App. 1 (App)'!$A47,#REF!,"Grant",#REF!,"Special Fund")</f>
        <v>#REF!</v>
      </c>
      <c r="N47" s="10" t="e">
        <f>SUMIFS(#REF!,#REF!,"2020",#REF!,'App. 1 (App)'!$A47,#REF!,"TA",#REF!,"Special Fund")</f>
        <v>#REF!</v>
      </c>
      <c r="O47" s="11" t="e">
        <f t="shared" si="6"/>
        <v>#REF!</v>
      </c>
      <c r="P47" s="10" t="e">
        <f>SUMIFS(#REF!,#REF!,"2020",#REF!,'App. 1 (App)'!$A47,#REF!,"Official")-Q47+SUMIFS(#REF!,#REF!,"2020",#REF!,'App. 1 (App)'!$A47,#REF!,"Commercial")+SUMIFS(#REF!,#REF!,"2020",#REF!,'App. 1 (App)'!$A47,#REF!,"Other Concessional")</f>
        <v>#REF!</v>
      </c>
      <c r="Q47" s="10" t="e">
        <f>SUMIFS(#REF!,#REF!,"2020",#REF!,'App. 1 (App)'!$A47,#REF!,"TA Cofinancing",#REF!,"Official")+SUMIFS(#REF!,#REF!,"2020",#REF!,'App. 1 (App)'!$A47,#REF!,"TA Cofinancing",#REF!,"Other Concessional")</f>
        <v>#REF!</v>
      </c>
      <c r="R47" s="11" t="e">
        <f t="shared" si="7"/>
        <v>#REF!</v>
      </c>
      <c r="U47" s="9" t="s">
        <v>109</v>
      </c>
      <c r="V47" s="10" t="e">
        <f t="shared" si="1"/>
        <v>#REF!</v>
      </c>
      <c r="W47" s="10" t="e">
        <f t="shared" si="2"/>
        <v>#REF!</v>
      </c>
      <c r="X47" s="10" t="e">
        <f t="shared" si="3"/>
        <v>#REF!</v>
      </c>
      <c r="Y47" s="10" t="e">
        <f t="shared" si="3"/>
        <v>#REF!</v>
      </c>
      <c r="Z47" s="10" t="e">
        <f t="shared" si="4"/>
        <v>#REF!</v>
      </c>
      <c r="AA47" s="10" t="e">
        <f t="shared" si="8"/>
        <v>#REF!</v>
      </c>
      <c r="AB47" s="10" t="e">
        <f t="shared" si="23"/>
        <v>#REF!</v>
      </c>
      <c r="AC47" s="10" t="e">
        <f t="shared" si="23"/>
        <v>#REF!</v>
      </c>
      <c r="AD47" s="10" t="e">
        <f t="shared" si="23"/>
        <v>#REF!</v>
      </c>
      <c r="AE47" s="10" t="e">
        <f t="shared" si="23"/>
        <v>#REF!</v>
      </c>
      <c r="AF47" s="10" t="e">
        <f t="shared" si="23"/>
        <v>#REF!</v>
      </c>
      <c r="AG47" s="11" t="e">
        <f t="shared" si="23"/>
        <v>#REF!</v>
      </c>
      <c r="AH47" s="10" t="e">
        <f t="shared" si="23"/>
        <v>#REF!</v>
      </c>
      <c r="AI47" s="10" t="e">
        <f t="shared" si="23"/>
        <v>#REF!</v>
      </c>
      <c r="AJ47" s="11" t="e">
        <f t="shared" si="23"/>
        <v>#REF!</v>
      </c>
      <c r="AL47" s="12" t="s">
        <v>38</v>
      </c>
      <c r="AM47" s="13" t="e">
        <f t="shared" si="18"/>
        <v>#REF!</v>
      </c>
      <c r="AP47" s="3" t="s">
        <v>32</v>
      </c>
      <c r="AQ47" s="14" t="e">
        <f t="shared" si="19"/>
        <v>#REF!</v>
      </c>
    </row>
    <row r="48" spans="1:43">
      <c r="A48" s="3" t="s">
        <v>224</v>
      </c>
      <c r="C48" s="9" t="s">
        <v>43</v>
      </c>
      <c r="D48" s="10" t="e">
        <f>SUMIFS(#REF!,#REF!,"2020",#REF!,'App. 1 (App)'!$A48,#REF!,"Loan",#REF!,"OCR")</f>
        <v>#REF!</v>
      </c>
      <c r="E48" s="10" t="e">
        <f>SUMIFS(#REF!,#REF!,"2020",#REF!,'App. 1 (App)'!$A48,#REF!,"Guarantee",#REF!,"OCR")</f>
        <v>#REF!</v>
      </c>
      <c r="F48" s="10" t="e">
        <f>SUMIFS(#REF!,#REF!,"2020",#REF!,'App. 1 (App)'!$A48,#REF!,"Equity",#REF!,"OCR")</f>
        <v>#REF!</v>
      </c>
      <c r="G48" s="10" t="e">
        <f>SUMIFS(#REF!,#REF!,"2020",#REF!,'App. 1 (App)'!$A48,#REF!,"MFP",#REF!,"OCR")</f>
        <v>#REF!</v>
      </c>
      <c r="H48" s="10" t="e">
        <f>SUMIFS(#REF!,#REF!,"2020",#REF!,'App. 1 (App)'!$A48,#REF!,"SCFP",#REF!,"OCR")</f>
        <v>#REF!</v>
      </c>
      <c r="I48" s="10" t="e">
        <f>SUMIFS(#REF!,#REF!,"2020",#REF!,'App. 1 (App)'!$A48,#REF!,"TFP",#REF!,"OCR")</f>
        <v>#REF!</v>
      </c>
      <c r="J48" s="10" t="e">
        <f>SUMIFS(#REF!,#REF!,"2020",#REF!,'App. 1 (App)'!$A48,#REF!,"Loan",#REF!,"ADF")+SUMIFS(#REF!,#REF!,"2020",#REF!,'App. 1 (App)'!$A48,#REF!,"Loan",#REF!,"COL")</f>
        <v>#REF!</v>
      </c>
      <c r="K48" s="10" t="e">
        <f>SUMIFS(#REF!,#REF!,"2020",#REF!,'App. 1 (App)'!$A48,#REF!,"Grant",#REF!,"ADF")</f>
        <v>#REF!</v>
      </c>
      <c r="L48" s="10" t="e">
        <f>SUMIFS(#REF!,#REF!,"2020",#REF!,'App. 1 (App)'!$A48,#REF!,"TA",#REF!,"ADB")</f>
        <v>#REF!</v>
      </c>
      <c r="M48" s="10" t="e">
        <f>SUMIFS(#REF!,#REF!,"2020",#REF!,'App. 1 (App)'!$A48,#REF!,"Grant",#REF!,"Special Fund")</f>
        <v>#REF!</v>
      </c>
      <c r="N48" s="10" t="e">
        <f>SUMIFS(#REF!,#REF!,"2020",#REF!,'App. 1 (App)'!$A48,#REF!,"TA",#REF!,"Special Fund")</f>
        <v>#REF!</v>
      </c>
      <c r="O48" s="11" t="e">
        <f t="shared" si="6"/>
        <v>#REF!</v>
      </c>
      <c r="P48" s="10" t="e">
        <f>SUMIFS(#REF!,#REF!,"2020",#REF!,'App. 1 (App)'!$A48,#REF!,"Official")-Q48+SUMIFS(#REF!,#REF!,"2020",#REF!,'App. 1 (App)'!$A48,#REF!,"Commercial")+SUMIFS(#REF!,#REF!,"2020",#REF!,'App. 1 (App)'!$A48,#REF!,"Other Concessional")</f>
        <v>#REF!</v>
      </c>
      <c r="Q48" s="10" t="e">
        <f>SUMIFS(#REF!,#REF!,"2020",#REF!,'App. 1 (App)'!$A48,#REF!,"TA Cofinancing",#REF!,"Official")+SUMIFS(#REF!,#REF!,"2020",#REF!,'App. 1 (App)'!$A48,#REF!,"TA Cofinancing",#REF!,"Other Concessional")</f>
        <v>#REF!</v>
      </c>
      <c r="R48" s="11" t="e">
        <f t="shared" si="7"/>
        <v>#REF!</v>
      </c>
      <c r="U48" s="9" t="s">
        <v>43</v>
      </c>
      <c r="V48" s="10" t="e">
        <f t="shared" si="1"/>
        <v>#REF!</v>
      </c>
      <c r="W48" s="10" t="e">
        <f t="shared" si="2"/>
        <v>#REF!</v>
      </c>
      <c r="X48" s="10" t="e">
        <f t="shared" si="3"/>
        <v>#REF!</v>
      </c>
      <c r="Y48" s="10" t="e">
        <f t="shared" si="3"/>
        <v>#REF!</v>
      </c>
      <c r="Z48" s="10" t="e">
        <f t="shared" si="4"/>
        <v>#REF!</v>
      </c>
      <c r="AA48" s="10" t="e">
        <f t="shared" si="8"/>
        <v>#REF!</v>
      </c>
      <c r="AB48" s="10" t="e">
        <f t="shared" si="23"/>
        <v>#REF!</v>
      </c>
      <c r="AC48" s="10" t="e">
        <f t="shared" si="23"/>
        <v>#REF!</v>
      </c>
      <c r="AD48" s="10" t="e">
        <f t="shared" si="23"/>
        <v>#REF!</v>
      </c>
      <c r="AE48" s="10" t="e">
        <f t="shared" si="23"/>
        <v>#REF!</v>
      </c>
      <c r="AF48" s="10" t="e">
        <f t="shared" si="23"/>
        <v>#REF!</v>
      </c>
      <c r="AG48" s="11" t="e">
        <f t="shared" si="23"/>
        <v>#REF!</v>
      </c>
      <c r="AH48" s="10" t="e">
        <f t="shared" si="23"/>
        <v>#REF!</v>
      </c>
      <c r="AI48" s="10" t="e">
        <f t="shared" si="23"/>
        <v>#REF!</v>
      </c>
      <c r="AJ48" s="11" t="e">
        <f t="shared" si="23"/>
        <v>#REF!</v>
      </c>
      <c r="AM48" s="18" t="e">
        <f>SUM(AM6:AM47)</f>
        <v>#REF!</v>
      </c>
      <c r="AQ48" s="18" t="e">
        <f>SUM(AQ6:AQ47)</f>
        <v>#REF!</v>
      </c>
    </row>
    <row r="49" spans="1:43">
      <c r="A49" s="3" t="s">
        <v>225</v>
      </c>
      <c r="C49" s="9" t="s">
        <v>48</v>
      </c>
      <c r="D49" s="10" t="e">
        <f>SUMIFS(#REF!,#REF!,"2020",#REF!,'App. 1 (App)'!$A49,#REF!,"Loan",#REF!,"OCR")</f>
        <v>#REF!</v>
      </c>
      <c r="E49" s="10" t="e">
        <f>SUMIFS(#REF!,#REF!,"2020",#REF!,'App. 1 (App)'!$A49,#REF!,"Guarantee",#REF!,"OCR")</f>
        <v>#REF!</v>
      </c>
      <c r="F49" s="10" t="e">
        <f>SUMIFS(#REF!,#REF!,"2020",#REF!,'App. 1 (App)'!$A49,#REF!,"Equity",#REF!,"OCR")</f>
        <v>#REF!</v>
      </c>
      <c r="G49" s="10" t="e">
        <f>SUMIFS(#REF!,#REF!,"2020",#REF!,'App. 1 (App)'!$A49,#REF!,"MFP",#REF!,"OCR")</f>
        <v>#REF!</v>
      </c>
      <c r="H49" s="10" t="e">
        <f>SUMIFS(#REF!,#REF!,"2020",#REF!,'App. 1 (App)'!$A49,#REF!,"SCFP",#REF!,"OCR")</f>
        <v>#REF!</v>
      </c>
      <c r="I49" s="10" t="e">
        <f>SUMIFS(#REF!,#REF!,"2020",#REF!,'App. 1 (App)'!$A49,#REF!,"TFP",#REF!,"OCR")</f>
        <v>#REF!</v>
      </c>
      <c r="J49" s="10" t="e">
        <f>SUMIFS(#REF!,#REF!,"2020",#REF!,'App. 1 (App)'!$A49,#REF!,"Loan",#REF!,"ADF")+SUMIFS(#REF!,#REF!,"2020",#REF!,'App. 1 (App)'!$A49,#REF!,"Loan",#REF!,"COL")</f>
        <v>#REF!</v>
      </c>
      <c r="K49" s="10" t="e">
        <f>SUMIFS(#REF!,#REF!,"2020",#REF!,'App. 1 (App)'!$A49,#REF!,"Grant",#REF!,"ADF")</f>
        <v>#REF!</v>
      </c>
      <c r="L49" s="10" t="e">
        <f>SUMIFS(#REF!,#REF!,"2020",#REF!,'App. 1 (App)'!$A49,#REF!,"TA",#REF!,"ADB")</f>
        <v>#REF!</v>
      </c>
      <c r="M49" s="10" t="e">
        <f>SUMIFS(#REF!,#REF!,"2020",#REF!,'App. 1 (App)'!$A49,#REF!,"Grant",#REF!,"Special Fund")</f>
        <v>#REF!</v>
      </c>
      <c r="N49" s="10" t="e">
        <f>SUMIFS(#REF!,#REF!,"2020",#REF!,'App. 1 (App)'!$A49,#REF!,"TA",#REF!,"Special Fund")</f>
        <v>#REF!</v>
      </c>
      <c r="O49" s="11" t="e">
        <f t="shared" si="6"/>
        <v>#REF!</v>
      </c>
      <c r="P49" s="10" t="e">
        <f>SUMIFS(#REF!,#REF!,"2020",#REF!,'App. 1 (App)'!$A49,#REF!,"Official")-Q49+SUMIFS(#REF!,#REF!,"2020",#REF!,'App. 1 (App)'!$A49,#REF!,"Commercial")+SUMIFS(#REF!,#REF!,"2020",#REF!,'App. 1 (App)'!$A49,#REF!,"Other Concessional")</f>
        <v>#REF!</v>
      </c>
      <c r="Q49" s="10" t="e">
        <f>SUMIFS(#REF!,#REF!,"2020",#REF!,'App. 1 (App)'!$A49,#REF!,"TA Cofinancing",#REF!,"Official")+SUMIFS(#REF!,#REF!,"2020",#REF!,'App. 1 (App)'!$A49,#REF!,"TA Cofinancing",#REF!,"Other Concessional")</f>
        <v>#REF!</v>
      </c>
      <c r="R49" s="11" t="e">
        <f t="shared" si="7"/>
        <v>#REF!</v>
      </c>
      <c r="U49" s="9" t="s">
        <v>48</v>
      </c>
      <c r="V49" s="10" t="e">
        <f t="shared" si="1"/>
        <v>#REF!</v>
      </c>
      <c r="W49" s="10" t="e">
        <f t="shared" si="2"/>
        <v>#REF!</v>
      </c>
      <c r="X49" s="10" t="e">
        <f t="shared" si="3"/>
        <v>#REF!</v>
      </c>
      <c r="Y49" s="10" t="e">
        <f t="shared" si="3"/>
        <v>#REF!</v>
      </c>
      <c r="Z49" s="10" t="e">
        <f t="shared" si="4"/>
        <v>#REF!</v>
      </c>
      <c r="AA49" s="10" t="e">
        <f t="shared" si="8"/>
        <v>#REF!</v>
      </c>
      <c r="AB49" s="10" t="e">
        <f t="shared" si="23"/>
        <v>#REF!</v>
      </c>
      <c r="AC49" s="10" t="e">
        <f t="shared" si="23"/>
        <v>#REF!</v>
      </c>
      <c r="AD49" s="10" t="e">
        <f t="shared" si="23"/>
        <v>#REF!</v>
      </c>
      <c r="AE49" s="10" t="e">
        <f t="shared" si="23"/>
        <v>#REF!</v>
      </c>
      <c r="AF49" s="10" t="e">
        <f t="shared" si="23"/>
        <v>#REF!</v>
      </c>
      <c r="AG49" s="11" t="e">
        <f t="shared" si="23"/>
        <v>#REF!</v>
      </c>
      <c r="AH49" s="10" t="e">
        <f t="shared" si="23"/>
        <v>#REF!</v>
      </c>
      <c r="AI49" s="10" t="e">
        <f t="shared" si="23"/>
        <v>#REF!</v>
      </c>
      <c r="AJ49" s="11" t="e">
        <f t="shared" si="23"/>
        <v>#REF!</v>
      </c>
      <c r="AM49" s="18"/>
      <c r="AQ49" s="18"/>
    </row>
    <row r="50" spans="1:43">
      <c r="A50" s="3" t="s">
        <v>226</v>
      </c>
      <c r="C50" s="15" t="s">
        <v>55</v>
      </c>
      <c r="D50" s="10" t="e">
        <f>SUMIFS(#REF!,#REF!,"2020",#REF!,'App. 1 (App)'!$A50,#REF!,"Loan",#REF!,"OCR")</f>
        <v>#REF!</v>
      </c>
      <c r="E50" s="10" t="e">
        <f>SUMIFS(#REF!,#REF!,"2020",#REF!,'App. 1 (App)'!$A50,#REF!,"Guarantee",#REF!,"OCR")</f>
        <v>#REF!</v>
      </c>
      <c r="F50" s="10" t="e">
        <f>SUMIFS(#REF!,#REF!,"2020",#REF!,'App. 1 (App)'!$A50,#REF!,"Equity",#REF!,"OCR")</f>
        <v>#REF!</v>
      </c>
      <c r="G50" s="10" t="e">
        <f>SUMIFS(#REF!,#REF!,"2020",#REF!,'App. 1 (App)'!$A50,#REF!,"MFP",#REF!,"OCR")</f>
        <v>#REF!</v>
      </c>
      <c r="H50" s="10" t="e">
        <f>SUMIFS(#REF!,#REF!,"2020",#REF!,'App. 1 (App)'!$A50,#REF!,"SCFP",#REF!,"OCR")</f>
        <v>#REF!</v>
      </c>
      <c r="I50" s="10" t="e">
        <f>SUMIFS(#REF!,#REF!,"2020",#REF!,'App. 1 (App)'!$A50,#REF!,"TFP",#REF!,"OCR")</f>
        <v>#REF!</v>
      </c>
      <c r="J50" s="10" t="e">
        <f>SUMIFS(#REF!,#REF!,"2020",#REF!,'App. 1 (App)'!$A50,#REF!,"Loan",#REF!,"ADF")+SUMIFS(#REF!,#REF!,"2020",#REF!,'App. 1 (App)'!$A50,#REF!,"Loan",#REF!,"COL")</f>
        <v>#REF!</v>
      </c>
      <c r="K50" s="10" t="e">
        <f>SUMIFS(#REF!,#REF!,"2020",#REF!,'App. 1 (App)'!$A50,#REF!,"Grant",#REF!,"ADF")</f>
        <v>#REF!</v>
      </c>
      <c r="L50" s="10" t="e">
        <f>SUMIFS(#REF!,#REF!,"2020",#REF!,'App. 1 (App)'!$A50,#REF!,"TA",#REF!,"ADB")</f>
        <v>#REF!</v>
      </c>
      <c r="M50" s="10" t="e">
        <f>SUMIFS(#REF!,#REF!,"2020",#REF!,'App. 1 (App)'!$A50,#REF!,"Grant",#REF!,"Special Fund")</f>
        <v>#REF!</v>
      </c>
      <c r="N50" s="10" t="e">
        <f>SUMIFS(#REF!,#REF!,"2020",#REF!,'App. 1 (App)'!$A50,#REF!,"TA",#REF!,"Special Fund")</f>
        <v>#REF!</v>
      </c>
      <c r="O50" s="11" t="e">
        <f t="shared" si="6"/>
        <v>#REF!</v>
      </c>
      <c r="P50" s="10" t="e">
        <f>SUMIFS(#REF!,#REF!,"2020",#REF!,'App. 1 (App)'!$A50,#REF!,"Official")-Q50+SUMIFS(#REF!,#REF!,"2020",#REF!,'App. 1 (App)'!$A50,#REF!,"Commercial")+SUMIFS(#REF!,#REF!,"2020",#REF!,'App. 1 (App)'!$A50,#REF!,"Other Concessional")</f>
        <v>#REF!</v>
      </c>
      <c r="Q50" s="10" t="e">
        <f>SUMIFS(#REF!,#REF!,"2020",#REF!,'App. 1 (App)'!$A50,#REF!,"TA Cofinancing",#REF!,"Official")+SUMIFS(#REF!,#REF!,"2020",#REF!,'App. 1 (App)'!$A50,#REF!,"TA Cofinancing",#REF!,"Other Concessional")</f>
        <v>#REF!</v>
      </c>
      <c r="R50" s="11" t="e">
        <f t="shared" si="7"/>
        <v>#REF!</v>
      </c>
      <c r="U50" s="15" t="s">
        <v>55</v>
      </c>
      <c r="V50" s="10" t="e">
        <f t="shared" si="1"/>
        <v>#REF!</v>
      </c>
      <c r="W50" s="10" t="e">
        <f t="shared" si="2"/>
        <v>#REF!</v>
      </c>
      <c r="X50" s="10" t="e">
        <f t="shared" si="3"/>
        <v>#REF!</v>
      </c>
      <c r="Y50" s="10" t="e">
        <f t="shared" si="3"/>
        <v>#REF!</v>
      </c>
      <c r="Z50" s="10" t="e">
        <f t="shared" si="4"/>
        <v>#REF!</v>
      </c>
      <c r="AA50" s="10" t="e">
        <f t="shared" si="8"/>
        <v>#REF!</v>
      </c>
      <c r="AB50" s="10" t="e">
        <f t="shared" si="23"/>
        <v>#REF!</v>
      </c>
      <c r="AC50" s="10" t="e">
        <f t="shared" si="23"/>
        <v>#REF!</v>
      </c>
      <c r="AD50" s="10" t="e">
        <f t="shared" si="23"/>
        <v>#REF!</v>
      </c>
      <c r="AE50" s="10" t="e">
        <f t="shared" si="23"/>
        <v>#REF!</v>
      </c>
      <c r="AF50" s="10" t="e">
        <f t="shared" si="23"/>
        <v>#REF!</v>
      </c>
      <c r="AG50" s="16" t="e">
        <f t="shared" si="23"/>
        <v>#REF!</v>
      </c>
      <c r="AH50" s="10" t="e">
        <f t="shared" si="23"/>
        <v>#REF!</v>
      </c>
      <c r="AI50" s="10" t="e">
        <f t="shared" si="23"/>
        <v>#REF!</v>
      </c>
      <c r="AJ50" s="16" t="e">
        <f t="shared" si="23"/>
        <v>#REF!</v>
      </c>
      <c r="AM50" s="18"/>
      <c r="AQ50" s="18"/>
    </row>
    <row r="51" spans="1:43" ht="15">
      <c r="C51" s="6" t="s">
        <v>156</v>
      </c>
      <c r="D51" s="17" t="e">
        <f>SUM(D52)</f>
        <v>#REF!</v>
      </c>
      <c r="E51" s="17" t="e">
        <f t="shared" ref="E51:Q51" si="26">SUM(E52)</f>
        <v>#REF!</v>
      </c>
      <c r="F51" s="17" t="e">
        <f t="shared" si="26"/>
        <v>#REF!</v>
      </c>
      <c r="G51" s="17" t="e">
        <f t="shared" si="26"/>
        <v>#REF!</v>
      </c>
      <c r="H51" s="17" t="e">
        <f t="shared" si="26"/>
        <v>#REF!</v>
      </c>
      <c r="I51" s="17" t="e">
        <f t="shared" si="26"/>
        <v>#REF!</v>
      </c>
      <c r="J51" s="17" t="e">
        <f t="shared" si="26"/>
        <v>#REF!</v>
      </c>
      <c r="K51" s="17" t="e">
        <f t="shared" si="26"/>
        <v>#REF!</v>
      </c>
      <c r="L51" s="17" t="e">
        <f t="shared" si="26"/>
        <v>#REF!</v>
      </c>
      <c r="M51" s="17" t="e">
        <f t="shared" si="26"/>
        <v>#REF!</v>
      </c>
      <c r="N51" s="17" t="e">
        <f t="shared" si="26"/>
        <v>#REF!</v>
      </c>
      <c r="O51" s="7" t="e">
        <f t="shared" si="6"/>
        <v>#REF!</v>
      </c>
      <c r="P51" s="17" t="e">
        <f t="shared" si="26"/>
        <v>#REF!</v>
      </c>
      <c r="Q51" s="17" t="e">
        <f t="shared" si="26"/>
        <v>#REF!</v>
      </c>
      <c r="R51" s="7" t="e">
        <f t="shared" si="7"/>
        <v>#REF!</v>
      </c>
      <c r="U51" s="6" t="s">
        <v>156</v>
      </c>
      <c r="V51" s="17" t="e">
        <f t="shared" si="1"/>
        <v>#REF!</v>
      </c>
      <c r="W51" s="17" t="e">
        <f t="shared" si="2"/>
        <v>#REF!</v>
      </c>
      <c r="X51" s="17" t="e">
        <f t="shared" si="3"/>
        <v>#REF!</v>
      </c>
      <c r="Y51" s="17" t="e">
        <f t="shared" si="3"/>
        <v>#REF!</v>
      </c>
      <c r="Z51" s="17" t="e">
        <f t="shared" si="4"/>
        <v>#REF!</v>
      </c>
      <c r="AA51" s="17" t="e">
        <f t="shared" si="8"/>
        <v>#REF!</v>
      </c>
      <c r="AB51" s="17" t="e">
        <f t="shared" si="23"/>
        <v>#REF!</v>
      </c>
      <c r="AC51" s="17" t="e">
        <f t="shared" si="23"/>
        <v>#REF!</v>
      </c>
      <c r="AD51" s="17" t="e">
        <f t="shared" si="23"/>
        <v>#REF!</v>
      </c>
      <c r="AE51" s="17" t="e">
        <f t="shared" si="23"/>
        <v>#REF!</v>
      </c>
      <c r="AF51" s="17" t="e">
        <f t="shared" si="23"/>
        <v>#REF!</v>
      </c>
      <c r="AG51" s="7" t="e">
        <f t="shared" si="23"/>
        <v>#REF!</v>
      </c>
      <c r="AH51" s="17" t="e">
        <f t="shared" si="23"/>
        <v>#REF!</v>
      </c>
      <c r="AI51" s="17" t="e">
        <f t="shared" si="23"/>
        <v>#REF!</v>
      </c>
      <c r="AJ51" s="7" t="e">
        <f t="shared" si="23"/>
        <v>#REF!</v>
      </c>
      <c r="AM51" s="13"/>
    </row>
    <row r="52" spans="1:43">
      <c r="A52" s="3" t="s">
        <v>227</v>
      </c>
      <c r="C52" s="15" t="s">
        <v>156</v>
      </c>
      <c r="D52" s="10" t="e">
        <f>SUMIFS(#REF!,#REF!,"2020",#REF!,'App. 1 (App)'!$A52,#REF!,"Loan",#REF!,"OCR")</f>
        <v>#REF!</v>
      </c>
      <c r="E52" s="10" t="e">
        <f>SUMIFS(#REF!,#REF!,"2020",#REF!,'App. 1 (App)'!$A52,#REF!,"Guarantee",#REF!,"OCR")</f>
        <v>#REF!</v>
      </c>
      <c r="F52" s="10" t="e">
        <f>SUMIFS(#REF!,#REF!,"2020",#REF!,'App. 1 (App)'!$A52,#REF!,"Equity",#REF!,"OCR")</f>
        <v>#REF!</v>
      </c>
      <c r="G52" s="10" t="e">
        <f>SUMIFS(#REF!,#REF!,"2020",#REF!,'App. 1 (App)'!$A52,#REF!,"MFP",#REF!,"OCR")</f>
        <v>#REF!</v>
      </c>
      <c r="H52" s="10" t="e">
        <f>SUMIFS(#REF!,#REF!,"2020",#REF!,'App. 1 (App)'!$A52,#REF!,"SCFP",#REF!,"OCR")</f>
        <v>#REF!</v>
      </c>
      <c r="I52" s="10" t="e">
        <f>SUMIFS(#REF!,#REF!,"2020",#REF!,'App. 1 (App)'!$A52,#REF!,"TFP",#REF!,"OCR")</f>
        <v>#REF!</v>
      </c>
      <c r="J52" s="10" t="e">
        <f>SUMIFS(#REF!,#REF!,"2020",#REF!,'App. 1 (App)'!$A52,#REF!,"Loan",#REF!,"ADF")+SUMIFS(#REF!,#REF!,"2020",#REF!,'App. 1 (App)'!$A52,#REF!,"Loan",#REF!,"COL")</f>
        <v>#REF!</v>
      </c>
      <c r="K52" s="10" t="e">
        <f>SUMIFS(#REF!,#REF!,"2020",#REF!,'App. 1 (App)'!$A52,#REF!,"Grant",#REF!,"ADF")</f>
        <v>#REF!</v>
      </c>
      <c r="L52" s="10" t="e">
        <f>SUMIFS(#REF!,#REF!,"2020",#REF!,'App. 1 (App)'!$A52,#REF!,"TA",#REF!,"ADB")</f>
        <v>#REF!</v>
      </c>
      <c r="M52" s="10" t="e">
        <f>SUMIFS(#REF!,#REF!,"2020",#REF!,'App. 1 (App)'!$A52,#REF!,"Grant",#REF!,"Special Fund")</f>
        <v>#REF!</v>
      </c>
      <c r="N52" s="10" t="e">
        <f>SUMIFS(#REF!,#REF!,"2020",#REF!,'App. 1 (App)'!$A52,#REF!,"TA",#REF!,"Special Fund")</f>
        <v>#REF!</v>
      </c>
      <c r="O52" s="11" t="e">
        <f t="shared" si="6"/>
        <v>#REF!</v>
      </c>
      <c r="P52" s="10" t="e">
        <f>SUMIFS(#REF!,#REF!,"2020",#REF!,'App. 1 (App)'!$A52,#REF!,"Official")-Q52+SUMIFS(#REF!,#REF!,"2020",#REF!,'App. 1 (App)'!$A52,#REF!,"Commercial")+SUMIFS(#REF!,#REF!,"2020",#REF!,'App. 1 (App)'!$A52,#REF!,"Other Concessional")</f>
        <v>#REF!</v>
      </c>
      <c r="Q52" s="10" t="e">
        <f>SUMIFS(#REF!,#REF!,"2020",#REF!,'App. 1 (App)'!$A52,#REF!,"TA Cofinancing",#REF!,"Official")+SUMIFS(#REF!,#REF!,"2020",#REF!,'App. 1 (App)'!$A52,#REF!,"TA Cofinancing",#REF!,"Other Concessional")</f>
        <v>#REF!</v>
      </c>
      <c r="R52" s="11" t="e">
        <f t="shared" si="7"/>
        <v>#REF!</v>
      </c>
      <c r="U52" s="15" t="s">
        <v>156</v>
      </c>
      <c r="V52" s="10" t="e">
        <f t="shared" si="1"/>
        <v>#REF!</v>
      </c>
      <c r="W52" s="10" t="e">
        <f t="shared" si="2"/>
        <v>#REF!</v>
      </c>
      <c r="X52" s="10" t="e">
        <f t="shared" si="3"/>
        <v>#REF!</v>
      </c>
      <c r="Y52" s="10" t="e">
        <f t="shared" si="3"/>
        <v>#REF!</v>
      </c>
      <c r="Z52" s="10" t="e">
        <f t="shared" si="4"/>
        <v>#REF!</v>
      </c>
      <c r="AA52" s="10" t="e">
        <f t="shared" si="8"/>
        <v>#REF!</v>
      </c>
      <c r="AB52" s="10" t="e">
        <f t="shared" si="23"/>
        <v>#REF!</v>
      </c>
      <c r="AC52" s="10" t="e">
        <f t="shared" si="23"/>
        <v>#REF!</v>
      </c>
      <c r="AD52" s="10" t="e">
        <f t="shared" si="23"/>
        <v>#REF!</v>
      </c>
      <c r="AE52" s="10" t="e">
        <f t="shared" si="23"/>
        <v>#REF!</v>
      </c>
      <c r="AF52" s="10" t="e">
        <f t="shared" si="23"/>
        <v>#REF!</v>
      </c>
      <c r="AG52" s="16" t="e">
        <f t="shared" si="23"/>
        <v>#REF!</v>
      </c>
      <c r="AH52" s="10" t="e">
        <f t="shared" si="23"/>
        <v>#REF!</v>
      </c>
      <c r="AI52" s="10" t="e">
        <f t="shared" si="23"/>
        <v>#REF!</v>
      </c>
      <c r="AJ52" s="16" t="e">
        <f t="shared" si="23"/>
        <v>#REF!</v>
      </c>
      <c r="AM52" s="13"/>
    </row>
    <row r="53" spans="1:43" ht="15">
      <c r="C53" s="19" t="s">
        <v>228</v>
      </c>
      <c r="D53" s="20" t="e">
        <f t="shared" ref="D53:N53" si="27">D5+D16+D23+D26+D42+D51</f>
        <v>#REF!</v>
      </c>
      <c r="E53" s="20" t="e">
        <f t="shared" si="27"/>
        <v>#REF!</v>
      </c>
      <c r="F53" s="20" t="e">
        <f t="shared" si="27"/>
        <v>#REF!</v>
      </c>
      <c r="G53" s="20" t="e">
        <f t="shared" si="27"/>
        <v>#REF!</v>
      </c>
      <c r="H53" s="20" t="e">
        <f t="shared" si="27"/>
        <v>#REF!</v>
      </c>
      <c r="I53" s="20" t="e">
        <f t="shared" si="27"/>
        <v>#REF!</v>
      </c>
      <c r="J53" s="20" t="e">
        <f t="shared" si="27"/>
        <v>#REF!</v>
      </c>
      <c r="K53" s="20" t="e">
        <f t="shared" si="27"/>
        <v>#REF!</v>
      </c>
      <c r="L53" s="20" t="e">
        <f t="shared" si="27"/>
        <v>#REF!</v>
      </c>
      <c r="M53" s="20" t="e">
        <f t="shared" si="27"/>
        <v>#REF!</v>
      </c>
      <c r="N53" s="20" t="e">
        <f t="shared" si="27"/>
        <v>#REF!</v>
      </c>
      <c r="O53" s="20" t="e">
        <f t="shared" si="6"/>
        <v>#REF!</v>
      </c>
      <c r="P53" s="20" t="e">
        <f>P5+P16+P23+P26+P42+P51</f>
        <v>#REF!</v>
      </c>
      <c r="Q53" s="20" t="e">
        <f>Q5+Q16+Q23+Q26+Q42+Q51</f>
        <v>#REF!</v>
      </c>
      <c r="R53" s="20" t="e">
        <f>SUM(O53:Q53)</f>
        <v>#REF!</v>
      </c>
      <c r="U53" s="19" t="s">
        <v>228</v>
      </c>
      <c r="V53" s="20" t="e">
        <f t="shared" si="1"/>
        <v>#REF!</v>
      </c>
      <c r="W53" s="20" t="e">
        <f t="shared" si="2"/>
        <v>#REF!</v>
      </c>
      <c r="X53" s="20" t="e">
        <f t="shared" si="3"/>
        <v>#REF!</v>
      </c>
      <c r="Y53" s="20" t="e">
        <f t="shared" si="3"/>
        <v>#REF!</v>
      </c>
      <c r="Z53" s="20" t="e">
        <f t="shared" si="4"/>
        <v>#REF!</v>
      </c>
      <c r="AA53" s="20" t="e">
        <f t="shared" si="8"/>
        <v>#REF!</v>
      </c>
      <c r="AB53" s="20" t="e">
        <f t="shared" si="23"/>
        <v>#REF!</v>
      </c>
      <c r="AC53" s="20" t="e">
        <f t="shared" si="23"/>
        <v>#REF!</v>
      </c>
      <c r="AD53" s="20" t="e">
        <f t="shared" si="23"/>
        <v>#REF!</v>
      </c>
      <c r="AE53" s="20" t="e">
        <f t="shared" si="23"/>
        <v>#REF!</v>
      </c>
      <c r="AF53" s="20" t="e">
        <f t="shared" si="23"/>
        <v>#REF!</v>
      </c>
      <c r="AG53" s="20" t="e">
        <f t="shared" si="23"/>
        <v>#REF!</v>
      </c>
      <c r="AH53" s="20" t="e">
        <f t="shared" si="23"/>
        <v>#REF!</v>
      </c>
      <c r="AI53" s="20" t="e">
        <f t="shared" si="23"/>
        <v>#REF!</v>
      </c>
      <c r="AJ53" s="20" t="e">
        <f>R53</f>
        <v>#REF!</v>
      </c>
      <c r="AM53" s="13"/>
    </row>
    <row r="54" spans="1:43">
      <c r="AG54" s="18"/>
      <c r="AM54" s="13"/>
    </row>
    <row r="55" spans="1:43">
      <c r="AE55" s="21"/>
      <c r="AM55" s="13"/>
    </row>
    <row r="56" spans="1:43">
      <c r="P56" s="18"/>
      <c r="AM56" s="13"/>
    </row>
    <row r="57" spans="1:43">
      <c r="AM57" s="13"/>
    </row>
    <row r="58" spans="1:43">
      <c r="AM58" s="13"/>
    </row>
    <row r="59" spans="1:43">
      <c r="AM59" s="13"/>
    </row>
    <row r="60" spans="1:43">
      <c r="AM60" s="13"/>
    </row>
    <row r="61" spans="1:43">
      <c r="AM61" s="13"/>
    </row>
    <row r="62" spans="1:43">
      <c r="AM62" s="13"/>
    </row>
    <row r="63" spans="1:43">
      <c r="AM63" s="13"/>
    </row>
    <row r="64" spans="1:43">
      <c r="AM64" s="13"/>
    </row>
    <row r="65" spans="39:39">
      <c r="AM65" s="13"/>
    </row>
    <row r="66" spans="39:39">
      <c r="AM66" s="13"/>
    </row>
    <row r="67" spans="39:39">
      <c r="AM67" s="13"/>
    </row>
    <row r="68" spans="39:39">
      <c r="AM68" s="13"/>
    </row>
    <row r="69" spans="39:39">
      <c r="AM69" s="13"/>
    </row>
    <row r="70" spans="39:39">
      <c r="AM70" s="13"/>
    </row>
    <row r="71" spans="39:39">
      <c r="AM71" s="13"/>
    </row>
    <row r="72" spans="39:39">
      <c r="AM72" s="13"/>
    </row>
    <row r="73" spans="39:39">
      <c r="AM73" s="13"/>
    </row>
    <row r="74" spans="39:39">
      <c r="AM74" s="13"/>
    </row>
    <row r="75" spans="39:39">
      <c r="AM75" s="13"/>
    </row>
    <row r="76" spans="39:39">
      <c r="AM76" s="13"/>
    </row>
    <row r="77" spans="39:39">
      <c r="AM77" s="13"/>
    </row>
    <row r="78" spans="39:39">
      <c r="AM78" s="13"/>
    </row>
    <row r="79" spans="39:39">
      <c r="AM79" s="13"/>
    </row>
    <row r="80" spans="39:39">
      <c r="AM80" s="13"/>
    </row>
    <row r="81" spans="39:39">
      <c r="AM81" s="13"/>
    </row>
    <row r="82" spans="39:39">
      <c r="AM82" s="13"/>
    </row>
    <row r="83" spans="39:39">
      <c r="AM83" s="13"/>
    </row>
    <row r="84" spans="39:39">
      <c r="AM84" s="13"/>
    </row>
    <row r="85" spans="39:39">
      <c r="AM85" s="13"/>
    </row>
    <row r="86" spans="39:39">
      <c r="AM86" s="13"/>
    </row>
    <row r="87" spans="39:39">
      <c r="AM87" s="13"/>
    </row>
    <row r="88" spans="39:39">
      <c r="AM88" s="13"/>
    </row>
    <row r="99" spans="21:21">
      <c r="U99" s="18"/>
    </row>
    <row r="101" spans="21:21">
      <c r="U101" s="21"/>
    </row>
  </sheetData>
  <sortState xmlns:xlrd2="http://schemas.microsoft.com/office/spreadsheetml/2017/richdata2" ref="AP7:AQ47">
    <sortCondition descending="1" ref="AQ6:AQ47"/>
  </sortState>
  <mergeCells count="15">
    <mergeCell ref="AG2:AG4"/>
    <mergeCell ref="AH2:AI3"/>
    <mergeCell ref="AJ2:AJ4"/>
    <mergeCell ref="R2:R4"/>
    <mergeCell ref="U2:U4"/>
    <mergeCell ref="V2:AA3"/>
    <mergeCell ref="AB2:AB3"/>
    <mergeCell ref="AC2:AC3"/>
    <mergeCell ref="AD2:AF3"/>
    <mergeCell ref="P2:Q3"/>
    <mergeCell ref="C2:C4"/>
    <mergeCell ref="D2:I3"/>
    <mergeCell ref="J2:K3"/>
    <mergeCell ref="L2:N3"/>
    <mergeCell ref="O2:O4"/>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E427-A3B4-4E00-A099-1E4DF60E665A}">
  <dimension ref="A1:P55"/>
  <sheetViews>
    <sheetView topLeftCell="B1" zoomScale="85" zoomScaleNormal="85" workbookViewId="0">
      <selection activeCell="O12" sqref="O12"/>
    </sheetView>
  </sheetViews>
  <sheetFormatPr defaultRowHeight="12.75"/>
  <cols>
    <col min="1" max="1" width="9.140625" hidden="1" customWidth="1"/>
    <col min="3" max="3" width="33.28515625" customWidth="1"/>
    <col min="4" max="6" width="11.85546875" hidden="1" customWidth="1"/>
    <col min="7" max="14" width="11.85546875" customWidth="1"/>
    <col min="15" max="16" width="12" customWidth="1"/>
  </cols>
  <sheetData>
    <row r="1" spans="1:16" ht="17.25">
      <c r="C1" s="22" t="s">
        <v>229</v>
      </c>
      <c r="D1" s="1"/>
      <c r="E1" s="1"/>
      <c r="F1" s="1"/>
      <c r="G1" s="1"/>
      <c r="H1" s="1"/>
      <c r="I1" s="1"/>
      <c r="J1" s="1"/>
      <c r="K1" s="1"/>
      <c r="L1" s="1"/>
      <c r="M1" s="1"/>
      <c r="N1" s="1"/>
    </row>
    <row r="2" spans="1:16" ht="15">
      <c r="C2" s="23" t="s">
        <v>157</v>
      </c>
      <c r="D2" s="24">
        <v>2008</v>
      </c>
      <c r="E2" s="24">
        <v>2009</v>
      </c>
      <c r="F2" s="24">
        <v>2010</v>
      </c>
      <c r="G2" s="24">
        <v>2011</v>
      </c>
      <c r="H2" s="24">
        <v>2012</v>
      </c>
      <c r="I2" s="24">
        <v>2013</v>
      </c>
      <c r="J2" s="24">
        <v>2014</v>
      </c>
      <c r="K2" s="24">
        <v>2015</v>
      </c>
      <c r="L2" s="24">
        <v>2016</v>
      </c>
      <c r="M2" s="24">
        <v>2017</v>
      </c>
      <c r="N2" s="24">
        <v>2018</v>
      </c>
      <c r="O2" s="24">
        <v>2019</v>
      </c>
      <c r="P2" s="24">
        <v>2020</v>
      </c>
    </row>
    <row r="3" spans="1:16" ht="15">
      <c r="C3" s="25" t="s">
        <v>173</v>
      </c>
      <c r="D3" s="31">
        <v>2336.89</v>
      </c>
      <c r="E3" s="31">
        <v>2603.9</v>
      </c>
      <c r="F3" s="31">
        <v>3146.6</v>
      </c>
      <c r="G3" s="31">
        <v>4165.49</v>
      </c>
      <c r="H3" s="32">
        <v>2376.4</v>
      </c>
      <c r="I3" s="33">
        <v>3773.1059999999998</v>
      </c>
      <c r="J3" s="33">
        <v>2804.868567</v>
      </c>
      <c r="K3" s="33">
        <v>4790.93</v>
      </c>
      <c r="L3" s="33">
        <f>SUM(L4:L13)</f>
        <v>5261.994999999999</v>
      </c>
      <c r="M3" s="33">
        <f>SUM(M4:M13)</f>
        <v>4802.6599999999989</v>
      </c>
      <c r="N3" s="33">
        <v>2968.62</v>
      </c>
      <c r="O3" s="33" t="e">
        <f>SUM(O4:O13)</f>
        <v>#REF!</v>
      </c>
      <c r="P3" s="33" t="e">
        <f>SUM(P4:P13)</f>
        <v>#REF!</v>
      </c>
    </row>
    <row r="4" spans="1:16" ht="14.25">
      <c r="A4" t="s">
        <v>178</v>
      </c>
      <c r="C4" s="26" t="s">
        <v>5</v>
      </c>
      <c r="D4" s="34">
        <v>314</v>
      </c>
      <c r="E4" s="34">
        <v>333.1</v>
      </c>
      <c r="F4" s="34">
        <v>322</v>
      </c>
      <c r="G4" s="34">
        <v>232</v>
      </c>
      <c r="H4" s="34">
        <v>349</v>
      </c>
      <c r="I4" s="27">
        <v>468.1</v>
      </c>
      <c r="J4" s="27">
        <v>149</v>
      </c>
      <c r="K4" s="35">
        <v>200</v>
      </c>
      <c r="L4" s="35">
        <v>255.17999999999998</v>
      </c>
      <c r="M4" s="35">
        <v>404.76000000000005</v>
      </c>
      <c r="N4" s="35">
        <v>218.42000000000002</v>
      </c>
      <c r="O4" s="35" t="e">
        <f>SUMIFS(#REF!,#REF!,"2019",#REF!,"ADB",#REF!,'11-20 Appr (ADB and OSF only)'!$A4)-SUMIFS(#REF!,#REF!,"2019",#REF!,"ADB",#REF!,'11-20 Appr (ADB and OSF only)'!$A4,#REF!,"TA")-SUMIFS(#REF!,#REF!,"2019",#REF!,"ADB",#REF!,'11-20 Appr (ADB and OSF only)'!$A4,#REF!,"TA Cluster")+SUMIFS(#REF!,#REF!,"2019",#REF!,"Special Fund",#REF!,'11-20 Appr (ADB and OSF only)'!$A4)-SUMIFS(#REF!,#REF!,"2019",#REF!,"Special Fund",#REF!,'11-20 Appr (ADB and OSF only)'!$A4,#REF!,"TA")-SUMIFS(#REF!,#REF!,"2019",#REF!,"Special Fund",#REF!,'11-20 Appr (ADB and OSF only)'!$A4,#REF!,"TA Cluster")-SUMIFS(#REF!,#REF!,"2019",#REF!,"Special Fund",#REF!,'11-20 Appr (ADB and OSF only)'!$A4,#REF!,"MFF")-SUMIFS(#REF!,#REF!,"2019",#REF!,"ADB",#REF!,'11-20 Appr (ADB and OSF only)'!$A4,#REF!,"MFF")-SUMIFS(#REF!,#REF!,"2019",#REF!,"Special Fund",#REF!,'11-20 Appr (ADB and OSF only)'!$A4,#REF!,"Investment Facility")-SUMIFS(#REF!,#REF!,"2019",#REF!,"ADB",#REF!,'11-20 Appr (ADB and OSF only)'!$A4,#REF!,"Investment Facility")</f>
        <v>#REF!</v>
      </c>
      <c r="P4" s="35" t="e">
        <f>SUMIFS(#REF!,#REF!,"2020",#REF!,"ADB",#REF!,'11-20 Appr (ADB and OSF only)'!$A4)-SUMIFS(#REF!,#REF!,"2020",#REF!,"ADB",#REF!,'11-20 Appr (ADB and OSF only)'!$A4,#REF!,"TA")-SUMIFS(#REF!,#REF!,"2020",#REF!,"ADB",#REF!,'11-20 Appr (ADB and OSF only)'!$A4,#REF!,"TA Cluster")+SUMIFS(#REF!,#REF!,"2020",#REF!,"Special Fund",#REF!,'11-20 Appr (ADB and OSF only)'!$A4)-SUMIFS(#REF!,#REF!,"2020",#REF!,"Special Fund",#REF!,'11-20 Appr (ADB and OSF only)'!$A4,#REF!,"TA")-SUMIFS(#REF!,#REF!,"2020",#REF!,"Special Fund",#REF!,'11-20 Appr (ADB and OSF only)'!$A4,#REF!,"TA Cluster")-SUMIFS(#REF!,#REF!,"2020",#REF!,"Special Fund",#REF!,'11-20 Appr (ADB and OSF only)'!$A4,#REF!,"MFF")-SUMIFS(#REF!,#REF!,"2020",#REF!,"ADB",#REF!,'11-20 Appr (ADB and OSF only)'!$A4,#REF!,"MFF")-SUMIFS(#REF!,#REF!,"2020",#REF!,"Special Fund",#REF!,'11-20 Appr (ADB and OSF only)'!$A4,#REF!,"Investment Facility")-SUMIFS(#REF!,#REF!,"2020",#REF!,"ADB",#REF!,'11-20 Appr (ADB and OSF only)'!$A4,#REF!,"Investment Facility")</f>
        <v>#REF!</v>
      </c>
    </row>
    <row r="5" spans="1:16" ht="14.25">
      <c r="A5" t="s">
        <v>179</v>
      </c>
      <c r="C5" s="26" t="s">
        <v>7</v>
      </c>
      <c r="D5" s="34">
        <v>17.32</v>
      </c>
      <c r="E5" s="34">
        <v>140</v>
      </c>
      <c r="F5" s="34">
        <v>210</v>
      </c>
      <c r="G5" s="34">
        <v>113.64</v>
      </c>
      <c r="H5" s="34">
        <v>80</v>
      </c>
      <c r="I5" s="27">
        <v>125</v>
      </c>
      <c r="J5" s="27">
        <v>86</v>
      </c>
      <c r="K5" s="27">
        <v>201.46999999999997</v>
      </c>
      <c r="L5" s="27">
        <v>146</v>
      </c>
      <c r="M5" s="27">
        <v>180</v>
      </c>
      <c r="N5" s="27">
        <v>150.39999999999998</v>
      </c>
      <c r="O5" s="35" t="e">
        <f>SUMIFS(#REF!,#REF!,"2019",#REF!,"ADB",#REF!,'11-20 Appr (ADB and OSF only)'!$A5)-SUMIFS(#REF!,#REF!,"2019",#REF!,"ADB",#REF!,'11-20 Appr (ADB and OSF only)'!$A5,#REF!,"TA")-SUMIFS(#REF!,#REF!,"2019",#REF!,"ADB",#REF!,'11-20 Appr (ADB and OSF only)'!$A5,#REF!,"TA Cluster")+SUMIFS(#REF!,#REF!,"2019",#REF!,"Special Fund",#REF!,'11-20 Appr (ADB and OSF only)'!$A5)-SUMIFS(#REF!,#REF!,"2019",#REF!,"Special Fund",#REF!,'11-20 Appr (ADB and OSF only)'!$A5,#REF!,"TA")-SUMIFS(#REF!,#REF!,"2019",#REF!,"Special Fund",#REF!,'11-20 Appr (ADB and OSF only)'!$A5,#REF!,"TA Cluster")-SUMIFS(#REF!,#REF!,"2019",#REF!,"Special Fund",#REF!,'11-20 Appr (ADB and OSF only)'!$A5,#REF!,"MFF")-SUMIFS(#REF!,#REF!,"2019",#REF!,"ADB",#REF!,'11-20 Appr (ADB and OSF only)'!$A5,#REF!,"MFF")-SUMIFS(#REF!,#REF!,"2019",#REF!,"Special Fund",#REF!,'11-20 Appr (ADB and OSF only)'!$A5,#REF!,"Investment Facility")-SUMIFS(#REF!,#REF!,"2019",#REF!,"ADB",#REF!,'11-20 Appr (ADB and OSF only)'!$A5,#REF!,"Investment Facility")</f>
        <v>#REF!</v>
      </c>
      <c r="P5" s="35" t="e">
        <f>SUMIFS(#REF!,#REF!,"2020",#REF!,"ADB",#REF!,'11-20 Appr (ADB and OSF only)'!$A5)-SUMIFS(#REF!,#REF!,"2020",#REF!,"ADB",#REF!,'11-20 Appr (ADB and OSF only)'!$A5,#REF!,"TA")-SUMIFS(#REF!,#REF!,"2020",#REF!,"ADB",#REF!,'11-20 Appr (ADB and OSF only)'!$A5,#REF!,"TA Cluster")+SUMIFS(#REF!,#REF!,"2020",#REF!,"Special Fund",#REF!,'11-20 Appr (ADB and OSF only)'!$A5)-SUMIFS(#REF!,#REF!,"2020",#REF!,"Special Fund",#REF!,'11-20 Appr (ADB and OSF only)'!$A5,#REF!,"TA")-SUMIFS(#REF!,#REF!,"2020",#REF!,"Special Fund",#REF!,'11-20 Appr (ADB and OSF only)'!$A5,#REF!,"TA Cluster")-SUMIFS(#REF!,#REF!,"2020",#REF!,"Special Fund",#REF!,'11-20 Appr (ADB and OSF only)'!$A5,#REF!,"MFF")-SUMIFS(#REF!,#REF!,"2020",#REF!,"ADB",#REF!,'11-20 Appr (ADB and OSF only)'!$A5,#REF!,"MFF")-SUMIFS(#REF!,#REF!,"2020",#REF!,"Special Fund",#REF!,'11-20 Appr (ADB and OSF only)'!$A5,#REF!,"Investment Facility")-SUMIFS(#REF!,#REF!,"2020",#REF!,"ADB",#REF!,'11-20 Appr (ADB and OSF only)'!$A5,#REF!,"Investment Facility")</f>
        <v>#REF!</v>
      </c>
    </row>
    <row r="6" spans="1:16" ht="14.25">
      <c r="A6" t="s">
        <v>180</v>
      </c>
      <c r="C6" s="26" t="s">
        <v>11</v>
      </c>
      <c r="D6" s="34">
        <v>215.4</v>
      </c>
      <c r="E6" s="34">
        <v>75</v>
      </c>
      <c r="F6" s="34">
        <v>27</v>
      </c>
      <c r="G6" s="34">
        <v>500</v>
      </c>
      <c r="H6" s="34">
        <v>250</v>
      </c>
      <c r="I6" s="27">
        <v>200</v>
      </c>
      <c r="J6" s="27">
        <v>315</v>
      </c>
      <c r="K6" s="27">
        <v>325</v>
      </c>
      <c r="L6" s="27">
        <v>1750</v>
      </c>
      <c r="M6" s="27">
        <v>650.00000000000011</v>
      </c>
      <c r="N6" s="27">
        <v>0</v>
      </c>
      <c r="O6" s="35" t="e">
        <f>SUMIFS(#REF!,#REF!,"2019",#REF!,"ADB",#REF!,'11-20 Appr (ADB and OSF only)'!$A6)-SUMIFS(#REF!,#REF!,"2019",#REF!,"ADB",#REF!,'11-20 Appr (ADB and OSF only)'!$A6,#REF!,"TA")-SUMIFS(#REF!,#REF!,"2019",#REF!,"ADB",#REF!,'11-20 Appr (ADB and OSF only)'!$A6,#REF!,"TA Cluster")+SUMIFS(#REF!,#REF!,"2019",#REF!,"Special Fund",#REF!,'11-20 Appr (ADB and OSF only)'!$A6)-SUMIFS(#REF!,#REF!,"2019",#REF!,"Special Fund",#REF!,'11-20 Appr (ADB and OSF only)'!$A6,#REF!,"TA")-SUMIFS(#REF!,#REF!,"2019",#REF!,"Special Fund",#REF!,'11-20 Appr (ADB and OSF only)'!$A6,#REF!,"TA Cluster")-SUMIFS(#REF!,#REF!,"2019",#REF!,"Special Fund",#REF!,'11-20 Appr (ADB and OSF only)'!$A6,#REF!,"MFF")-SUMIFS(#REF!,#REF!,"2019",#REF!,"ADB",#REF!,'11-20 Appr (ADB and OSF only)'!$A6,#REF!,"MFF")-SUMIFS(#REF!,#REF!,"2019",#REF!,"Special Fund",#REF!,'11-20 Appr (ADB and OSF only)'!$A6,#REF!,"Investment Facility")-SUMIFS(#REF!,#REF!,"2019",#REF!,"ADB",#REF!,'11-20 Appr (ADB and OSF only)'!$A6,#REF!,"Investment Facility")</f>
        <v>#REF!</v>
      </c>
      <c r="P6" s="35" t="e">
        <f>SUMIFS(#REF!,#REF!,"2020",#REF!,"ADB",#REF!,'11-20 Appr (ADB and OSF only)'!$A6)-SUMIFS(#REF!,#REF!,"2020",#REF!,"ADB",#REF!,'11-20 Appr (ADB and OSF only)'!$A6,#REF!,"TA")-SUMIFS(#REF!,#REF!,"2020",#REF!,"ADB",#REF!,'11-20 Appr (ADB and OSF only)'!$A6,#REF!,"TA Cluster")+SUMIFS(#REF!,#REF!,"2020",#REF!,"Special Fund",#REF!,'11-20 Appr (ADB and OSF only)'!$A6)-SUMIFS(#REF!,#REF!,"2020",#REF!,"Special Fund",#REF!,'11-20 Appr (ADB and OSF only)'!$A6,#REF!,"TA")-SUMIFS(#REF!,#REF!,"2020",#REF!,"Special Fund",#REF!,'11-20 Appr (ADB and OSF only)'!$A6,#REF!,"TA Cluster")-SUMIFS(#REF!,#REF!,"2020",#REF!,"Special Fund",#REF!,'11-20 Appr (ADB and OSF only)'!$A6,#REF!,"MFF")-SUMIFS(#REF!,#REF!,"2020",#REF!,"ADB",#REF!,'11-20 Appr (ADB and OSF only)'!$A6,#REF!,"MFF")-SUMIFS(#REF!,#REF!,"2020",#REF!,"Special Fund",#REF!,'11-20 Appr (ADB and OSF only)'!$A6,#REF!,"Investment Facility")-SUMIFS(#REF!,#REF!,"2020",#REF!,"ADB",#REF!,'11-20 Appr (ADB and OSF only)'!$A6,#REF!,"Investment Facility")</f>
        <v>#REF!</v>
      </c>
    </row>
    <row r="7" spans="1:16" ht="14.25">
      <c r="A7" t="s">
        <v>181</v>
      </c>
      <c r="C7" s="26" t="s">
        <v>23</v>
      </c>
      <c r="D7" s="34">
        <v>110</v>
      </c>
      <c r="E7" s="34">
        <v>228.8</v>
      </c>
      <c r="F7" s="34">
        <v>385</v>
      </c>
      <c r="G7" s="34">
        <v>260</v>
      </c>
      <c r="H7" s="34">
        <v>128</v>
      </c>
      <c r="I7" s="27">
        <v>221</v>
      </c>
      <c r="J7" s="27">
        <v>258</v>
      </c>
      <c r="K7" s="27">
        <v>300.00000000000006</v>
      </c>
      <c r="L7" s="27">
        <v>199</v>
      </c>
      <c r="M7" s="27">
        <v>208.27</v>
      </c>
      <c r="N7" s="27">
        <v>424.99999999999994</v>
      </c>
      <c r="O7" s="35" t="e">
        <f>SUMIFS(#REF!,#REF!,"2019",#REF!,"ADB",#REF!,'11-20 Appr (ADB and OSF only)'!$A7)-SUMIFS(#REF!,#REF!,"2019",#REF!,"ADB",#REF!,'11-20 Appr (ADB and OSF only)'!$A7,#REF!,"TA")-SUMIFS(#REF!,#REF!,"2019",#REF!,"ADB",#REF!,'11-20 Appr (ADB and OSF only)'!$A7,#REF!,"TA Cluster")+SUMIFS(#REF!,#REF!,"2019",#REF!,"Special Fund",#REF!,'11-20 Appr (ADB and OSF only)'!$A7)-SUMIFS(#REF!,#REF!,"2019",#REF!,"Special Fund",#REF!,'11-20 Appr (ADB and OSF only)'!$A7,#REF!,"TA")-SUMIFS(#REF!,#REF!,"2019",#REF!,"Special Fund",#REF!,'11-20 Appr (ADB and OSF only)'!$A7,#REF!,"TA Cluster")-SUMIFS(#REF!,#REF!,"2019",#REF!,"Special Fund",#REF!,'11-20 Appr (ADB and OSF only)'!$A7,#REF!,"MFF")-SUMIFS(#REF!,#REF!,"2019",#REF!,"ADB",#REF!,'11-20 Appr (ADB and OSF only)'!$A7,#REF!,"MFF")-SUMIFS(#REF!,#REF!,"2019",#REF!,"Special Fund",#REF!,'11-20 Appr (ADB and OSF only)'!$A7,#REF!,"Investment Facility")-SUMIFS(#REF!,#REF!,"2019",#REF!,"ADB",#REF!,'11-20 Appr (ADB and OSF only)'!$A7,#REF!,"Investment Facility")</f>
        <v>#REF!</v>
      </c>
      <c r="P7" s="35" t="e">
        <f>SUMIFS(#REF!,#REF!,"2020",#REF!,"ADB",#REF!,'11-20 Appr (ADB and OSF only)'!$A7)-SUMIFS(#REF!,#REF!,"2020",#REF!,"ADB",#REF!,'11-20 Appr (ADB and OSF only)'!$A7,#REF!,"TA")-SUMIFS(#REF!,#REF!,"2020",#REF!,"ADB",#REF!,'11-20 Appr (ADB and OSF only)'!$A7,#REF!,"TA Cluster")+SUMIFS(#REF!,#REF!,"2020",#REF!,"Special Fund",#REF!,'11-20 Appr (ADB and OSF only)'!$A7)-SUMIFS(#REF!,#REF!,"2020",#REF!,"Special Fund",#REF!,'11-20 Appr (ADB and OSF only)'!$A7,#REF!,"TA")-SUMIFS(#REF!,#REF!,"2020",#REF!,"Special Fund",#REF!,'11-20 Appr (ADB and OSF only)'!$A7,#REF!,"TA Cluster")-SUMIFS(#REF!,#REF!,"2020",#REF!,"Special Fund",#REF!,'11-20 Appr (ADB and OSF only)'!$A7,#REF!,"MFF")-SUMIFS(#REF!,#REF!,"2020",#REF!,"ADB",#REF!,'11-20 Appr (ADB and OSF only)'!$A7,#REF!,"MFF")-SUMIFS(#REF!,#REF!,"2020",#REF!,"Special Fund",#REF!,'11-20 Appr (ADB and OSF only)'!$A7,#REF!,"Investment Facility")-SUMIFS(#REF!,#REF!,"2020",#REF!,"ADB",#REF!,'11-20 Appr (ADB and OSF only)'!$A7,#REF!,"Investment Facility")</f>
        <v>#REF!</v>
      </c>
    </row>
    <row r="8" spans="1:16" ht="14.25">
      <c r="A8" t="s">
        <v>182</v>
      </c>
      <c r="C8" s="26" t="s">
        <v>28</v>
      </c>
      <c r="D8" s="34">
        <v>340</v>
      </c>
      <c r="E8" s="34">
        <v>687</v>
      </c>
      <c r="F8" s="34">
        <v>606</v>
      </c>
      <c r="G8" s="34">
        <v>207</v>
      </c>
      <c r="H8" s="34">
        <v>496.3</v>
      </c>
      <c r="I8" s="27">
        <v>202.2</v>
      </c>
      <c r="J8" s="27">
        <v>130</v>
      </c>
      <c r="K8" s="27">
        <v>1098</v>
      </c>
      <c r="L8" s="27">
        <v>440.29999999999995</v>
      </c>
      <c r="M8" s="27">
        <v>120</v>
      </c>
      <c r="N8" s="27">
        <v>11.999999999999998</v>
      </c>
      <c r="O8" s="35" t="e">
        <f>SUMIFS(#REF!,#REF!,"2019",#REF!,"ADB",#REF!,'11-20 Appr (ADB and OSF only)'!$A8)-SUMIFS(#REF!,#REF!,"2019",#REF!,"ADB",#REF!,'11-20 Appr (ADB and OSF only)'!$A8,#REF!,"TA")-SUMIFS(#REF!,#REF!,"2019",#REF!,"ADB",#REF!,'11-20 Appr (ADB and OSF only)'!$A8,#REF!,"TA Cluster")+SUMIFS(#REF!,#REF!,"2019",#REF!,"Special Fund",#REF!,'11-20 Appr (ADB and OSF only)'!$A8)-SUMIFS(#REF!,#REF!,"2019",#REF!,"Special Fund",#REF!,'11-20 Appr (ADB and OSF only)'!$A8,#REF!,"TA")-SUMIFS(#REF!,#REF!,"2019",#REF!,"Special Fund",#REF!,'11-20 Appr (ADB and OSF only)'!$A8,#REF!,"TA Cluster")-SUMIFS(#REF!,#REF!,"2019",#REF!,"Special Fund",#REF!,'11-20 Appr (ADB and OSF only)'!$A8,#REF!,"MFF")-SUMIFS(#REF!,#REF!,"2019",#REF!,"ADB",#REF!,'11-20 Appr (ADB and OSF only)'!$A8,#REF!,"MFF")-SUMIFS(#REF!,#REF!,"2019",#REF!,"Special Fund",#REF!,'11-20 Appr (ADB and OSF only)'!$A8,#REF!,"Investment Facility")-SUMIFS(#REF!,#REF!,"2019",#REF!,"ADB",#REF!,'11-20 Appr (ADB and OSF only)'!$A8,#REF!,"Investment Facility")</f>
        <v>#REF!</v>
      </c>
      <c r="P8" s="35" t="e">
        <f>SUMIFS(#REF!,#REF!,"2020",#REF!,"ADB",#REF!,'11-20 Appr (ADB and OSF only)'!$A8)-SUMIFS(#REF!,#REF!,"2020",#REF!,"ADB",#REF!,'11-20 Appr (ADB and OSF only)'!$A8,#REF!,"TA")-SUMIFS(#REF!,#REF!,"2020",#REF!,"ADB",#REF!,'11-20 Appr (ADB and OSF only)'!$A8,#REF!,"TA Cluster")+SUMIFS(#REF!,#REF!,"2020",#REF!,"Special Fund",#REF!,'11-20 Appr (ADB and OSF only)'!$A8)-SUMIFS(#REF!,#REF!,"2020",#REF!,"Special Fund",#REF!,'11-20 Appr (ADB and OSF only)'!$A8,#REF!,"TA")-SUMIFS(#REF!,#REF!,"2020",#REF!,"Special Fund",#REF!,'11-20 Appr (ADB and OSF only)'!$A8,#REF!,"TA Cluster")-SUMIFS(#REF!,#REF!,"2020",#REF!,"Special Fund",#REF!,'11-20 Appr (ADB and OSF only)'!$A8,#REF!,"MFF")-SUMIFS(#REF!,#REF!,"2020",#REF!,"ADB",#REF!,'11-20 Appr (ADB and OSF only)'!$A8,#REF!,"MFF")-SUMIFS(#REF!,#REF!,"2020",#REF!,"Special Fund",#REF!,'11-20 Appr (ADB and OSF only)'!$A8,#REF!,"Investment Facility")-SUMIFS(#REF!,#REF!,"2020",#REF!,"ADB",#REF!,'11-20 Appr (ADB and OSF only)'!$A8,#REF!,"Investment Facility")</f>
        <v>#REF!</v>
      </c>
    </row>
    <row r="9" spans="1:16" ht="14.25">
      <c r="A9" t="s">
        <v>183</v>
      </c>
      <c r="C9" s="26" t="s">
        <v>30</v>
      </c>
      <c r="D9" s="34">
        <v>65.400000000000006</v>
      </c>
      <c r="E9" s="34">
        <v>80</v>
      </c>
      <c r="F9" s="34">
        <v>167.8</v>
      </c>
      <c r="G9" s="34">
        <v>55</v>
      </c>
      <c r="H9" s="34">
        <v>105</v>
      </c>
      <c r="I9" s="27">
        <v>108.404</v>
      </c>
      <c r="J9" s="27">
        <v>169.1</v>
      </c>
      <c r="K9" s="27">
        <v>30</v>
      </c>
      <c r="L9" s="27">
        <v>230.11</v>
      </c>
      <c r="M9" s="27">
        <v>55</v>
      </c>
      <c r="N9" s="27">
        <v>153.12</v>
      </c>
      <c r="O9" s="35" t="e">
        <f>SUMIFS(#REF!,#REF!,"2019",#REF!,"ADB",#REF!,'11-20 Appr (ADB and OSF only)'!$A9)-SUMIFS(#REF!,#REF!,"2019",#REF!,"ADB",#REF!,'11-20 Appr (ADB and OSF only)'!$A9,#REF!,"TA")-SUMIFS(#REF!,#REF!,"2019",#REF!,"ADB",#REF!,'11-20 Appr (ADB and OSF only)'!$A9,#REF!,"TA Cluster")+SUMIFS(#REF!,#REF!,"2019",#REF!,"Special Fund",#REF!,'11-20 Appr (ADB and OSF only)'!$A9)-SUMIFS(#REF!,#REF!,"2019",#REF!,"Special Fund",#REF!,'11-20 Appr (ADB and OSF only)'!$A9,#REF!,"TA")-SUMIFS(#REF!,#REF!,"2019",#REF!,"Special Fund",#REF!,'11-20 Appr (ADB and OSF only)'!$A9,#REF!,"TA Cluster")-SUMIFS(#REF!,#REF!,"2019",#REF!,"Special Fund",#REF!,'11-20 Appr (ADB and OSF only)'!$A9,#REF!,"MFF")-SUMIFS(#REF!,#REF!,"2019",#REF!,"ADB",#REF!,'11-20 Appr (ADB and OSF only)'!$A9,#REF!,"MFF")-SUMIFS(#REF!,#REF!,"2019",#REF!,"Special Fund",#REF!,'11-20 Appr (ADB and OSF only)'!$A9,#REF!,"Investment Facility")-SUMIFS(#REF!,#REF!,"2019",#REF!,"ADB",#REF!,'11-20 Appr (ADB and OSF only)'!$A9,#REF!,"Investment Facility")</f>
        <v>#REF!</v>
      </c>
      <c r="P9" s="35" t="e">
        <f>SUMIFS(#REF!,#REF!,"2020",#REF!,"ADB",#REF!,'11-20 Appr (ADB and OSF only)'!$A9)-SUMIFS(#REF!,#REF!,"2020",#REF!,"ADB",#REF!,'11-20 Appr (ADB and OSF only)'!$A9,#REF!,"TA")-SUMIFS(#REF!,#REF!,"2020",#REF!,"ADB",#REF!,'11-20 Appr (ADB and OSF only)'!$A9,#REF!,"TA Cluster")+SUMIFS(#REF!,#REF!,"2020",#REF!,"Special Fund",#REF!,'11-20 Appr (ADB and OSF only)'!$A9)-SUMIFS(#REF!,#REF!,"2020",#REF!,"Special Fund",#REF!,'11-20 Appr (ADB and OSF only)'!$A9,#REF!,"TA")-SUMIFS(#REF!,#REF!,"2020",#REF!,"Special Fund",#REF!,'11-20 Appr (ADB and OSF only)'!$A9,#REF!,"TA Cluster")-SUMIFS(#REF!,#REF!,"2020",#REF!,"Special Fund",#REF!,'11-20 Appr (ADB and OSF only)'!$A9,#REF!,"MFF")-SUMIFS(#REF!,#REF!,"2020",#REF!,"ADB",#REF!,'11-20 Appr (ADB and OSF only)'!$A9,#REF!,"MFF")-SUMIFS(#REF!,#REF!,"2020",#REF!,"Special Fund",#REF!,'11-20 Appr (ADB and OSF only)'!$A9,#REF!,"Investment Facility")-SUMIFS(#REF!,#REF!,"2020",#REF!,"ADB",#REF!,'11-20 Appr (ADB and OSF only)'!$A9,#REF!,"Investment Facility")</f>
        <v>#REF!</v>
      </c>
    </row>
    <row r="10" spans="1:16" ht="14.25">
      <c r="A10" t="s">
        <v>184</v>
      </c>
      <c r="C10" s="26" t="s">
        <v>39</v>
      </c>
      <c r="D10" s="34">
        <v>1090</v>
      </c>
      <c r="E10" s="34">
        <v>940</v>
      </c>
      <c r="F10" s="34">
        <v>651.79999999999995</v>
      </c>
      <c r="G10" s="34">
        <v>1329.85</v>
      </c>
      <c r="H10" s="34">
        <v>417.1</v>
      </c>
      <c r="I10" s="27">
        <v>1532.2</v>
      </c>
      <c r="J10" s="27">
        <v>1343.7685670000001</v>
      </c>
      <c r="K10" s="27">
        <v>1765.46</v>
      </c>
      <c r="L10" s="27">
        <f>1538.005-9.7</f>
        <v>1528.3050000000001</v>
      </c>
      <c r="M10" s="27">
        <v>2109.6299999999992</v>
      </c>
      <c r="N10" s="27">
        <v>455.00000000000011</v>
      </c>
      <c r="O10" s="35" t="e">
        <f>SUMIFS(#REF!,#REF!,"2019",#REF!,"ADB",#REF!,'11-20 Appr (ADB and OSF only)'!$A10)-SUMIFS(#REF!,#REF!,"2019",#REF!,"ADB",#REF!,'11-20 Appr (ADB and OSF only)'!$A10,#REF!,"TA")-SUMIFS(#REF!,#REF!,"2019",#REF!,"ADB",#REF!,'11-20 Appr (ADB and OSF only)'!$A10,#REF!,"TA Cluster")+SUMIFS(#REF!,#REF!,"2019",#REF!,"Special Fund",#REF!,'11-20 Appr (ADB and OSF only)'!$A10)-SUMIFS(#REF!,#REF!,"2019",#REF!,"Special Fund",#REF!,'11-20 Appr (ADB and OSF only)'!$A10,#REF!,"TA")-SUMIFS(#REF!,#REF!,"2019",#REF!,"Special Fund",#REF!,'11-20 Appr (ADB and OSF only)'!$A10,#REF!,"TA Cluster")-SUMIFS(#REF!,#REF!,"2019",#REF!,"Special Fund",#REF!,'11-20 Appr (ADB and OSF only)'!$A10,#REF!,"MFF")-SUMIFS(#REF!,#REF!,"2019",#REF!,"ADB",#REF!,'11-20 Appr (ADB and OSF only)'!$A10,#REF!,"MFF")-SUMIFS(#REF!,#REF!,"2019",#REF!,"Special Fund",#REF!,'11-20 Appr (ADB and OSF only)'!$A10,#REF!,"Investment Facility")-SUMIFS(#REF!,#REF!,"2019",#REF!,"ADB",#REF!,'11-20 Appr (ADB and OSF only)'!$A10,#REF!,"Investment Facility")</f>
        <v>#REF!</v>
      </c>
      <c r="P10" s="35" t="e">
        <f>SUMIFS(#REF!,#REF!,"2020",#REF!,"ADB",#REF!,'11-20 Appr (ADB and OSF only)'!$A10)-SUMIFS(#REF!,#REF!,"2020",#REF!,"ADB",#REF!,'11-20 Appr (ADB and OSF only)'!$A10,#REF!,"TA")-SUMIFS(#REF!,#REF!,"2020",#REF!,"ADB",#REF!,'11-20 Appr (ADB and OSF only)'!$A10,#REF!,"TA Cluster")+SUMIFS(#REF!,#REF!,"2020",#REF!,"Special Fund",#REF!,'11-20 Appr (ADB and OSF only)'!$A10)-SUMIFS(#REF!,#REF!,"2020",#REF!,"Special Fund",#REF!,'11-20 Appr (ADB and OSF only)'!$A10,#REF!,"TA")-SUMIFS(#REF!,#REF!,"2020",#REF!,"Special Fund",#REF!,'11-20 Appr (ADB and OSF only)'!$A10,#REF!,"TA Cluster")-SUMIFS(#REF!,#REF!,"2020",#REF!,"Special Fund",#REF!,'11-20 Appr (ADB and OSF only)'!$A10,#REF!,"MFF")-SUMIFS(#REF!,#REF!,"2020",#REF!,"ADB",#REF!,'11-20 Appr (ADB and OSF only)'!$A10,#REF!,"MFF")-SUMIFS(#REF!,#REF!,"2020",#REF!,"Special Fund",#REF!,'11-20 Appr (ADB and OSF only)'!$A10,#REF!,"Investment Facility")-SUMIFS(#REF!,#REF!,"2020",#REF!,"ADB",#REF!,'11-20 Appr (ADB and OSF only)'!$A10,#REF!,"Investment Facility")</f>
        <v>#REF!</v>
      </c>
    </row>
    <row r="11" spans="1:16" ht="14.25">
      <c r="A11" t="s">
        <v>185</v>
      </c>
      <c r="C11" s="26" t="s">
        <v>47</v>
      </c>
      <c r="D11" s="34">
        <v>54.77</v>
      </c>
      <c r="E11" s="34">
        <v>60</v>
      </c>
      <c r="F11" s="34">
        <v>122</v>
      </c>
      <c r="G11" s="34">
        <v>165</v>
      </c>
      <c r="H11" s="34">
        <v>100</v>
      </c>
      <c r="I11" s="27">
        <v>225.202</v>
      </c>
      <c r="J11" s="27">
        <v>54</v>
      </c>
      <c r="K11" s="27">
        <v>90</v>
      </c>
      <c r="L11" s="27">
        <v>140.19999999999999</v>
      </c>
      <c r="M11" s="27">
        <v>0</v>
      </c>
      <c r="N11" s="27">
        <v>214.68</v>
      </c>
      <c r="O11" s="35" t="e">
        <f>SUMIFS(#REF!,#REF!,"2019",#REF!,"ADB",#REF!,'11-20 Appr (ADB and OSF only)'!$A11)-SUMIFS(#REF!,#REF!,"2019",#REF!,"ADB",#REF!,'11-20 Appr (ADB and OSF only)'!$A11,#REF!,"TA")-SUMIFS(#REF!,#REF!,"2019",#REF!,"ADB",#REF!,'11-20 Appr (ADB and OSF only)'!$A11,#REF!,"TA Cluster")+SUMIFS(#REF!,#REF!,"2019",#REF!,"Special Fund",#REF!,'11-20 Appr (ADB and OSF only)'!$A11)-SUMIFS(#REF!,#REF!,"2019",#REF!,"Special Fund",#REF!,'11-20 Appr (ADB and OSF only)'!$A11,#REF!,"TA")-SUMIFS(#REF!,#REF!,"2019",#REF!,"Special Fund",#REF!,'11-20 Appr (ADB and OSF only)'!$A11,#REF!,"TA Cluster")-SUMIFS(#REF!,#REF!,"2019",#REF!,"Special Fund",#REF!,'11-20 Appr (ADB and OSF only)'!$A11,#REF!,"MFF")-SUMIFS(#REF!,#REF!,"2019",#REF!,"ADB",#REF!,'11-20 Appr (ADB and OSF only)'!$A11,#REF!,"MFF")-SUMIFS(#REF!,#REF!,"2019",#REF!,"Special Fund",#REF!,'11-20 Appr (ADB and OSF only)'!$A11,#REF!,"Investment Facility")-SUMIFS(#REF!,#REF!,"2019",#REF!,"ADB",#REF!,'11-20 Appr (ADB and OSF only)'!$A11,#REF!,"Investment Facility")</f>
        <v>#REF!</v>
      </c>
      <c r="P11" s="35" t="e">
        <f>SUMIFS(#REF!,#REF!,"2020",#REF!,"ADB",#REF!,'11-20 Appr (ADB and OSF only)'!$A11)-SUMIFS(#REF!,#REF!,"2020",#REF!,"ADB",#REF!,'11-20 Appr (ADB and OSF only)'!$A11,#REF!,"TA")-SUMIFS(#REF!,#REF!,"2020",#REF!,"ADB",#REF!,'11-20 Appr (ADB and OSF only)'!$A11,#REF!,"TA Cluster")+SUMIFS(#REF!,#REF!,"2020",#REF!,"Special Fund",#REF!,'11-20 Appr (ADB and OSF only)'!$A11)-SUMIFS(#REF!,#REF!,"2020",#REF!,"Special Fund",#REF!,'11-20 Appr (ADB and OSF only)'!$A11,#REF!,"TA")-SUMIFS(#REF!,#REF!,"2020",#REF!,"Special Fund",#REF!,'11-20 Appr (ADB and OSF only)'!$A11,#REF!,"TA Cluster")-SUMIFS(#REF!,#REF!,"2020",#REF!,"Special Fund",#REF!,'11-20 Appr (ADB and OSF only)'!$A11,#REF!,"MFF")-SUMIFS(#REF!,#REF!,"2020",#REF!,"ADB",#REF!,'11-20 Appr (ADB and OSF only)'!$A11,#REF!,"MFF")-SUMIFS(#REF!,#REF!,"2020",#REF!,"Special Fund",#REF!,'11-20 Appr (ADB and OSF only)'!$A11,#REF!,"Investment Facility")-SUMIFS(#REF!,#REF!,"2020",#REF!,"ADB",#REF!,'11-20 Appr (ADB and OSF only)'!$A11,#REF!,"Investment Facility")</f>
        <v>#REF!</v>
      </c>
    </row>
    <row r="12" spans="1:16" ht="14.25">
      <c r="A12" t="s">
        <v>186</v>
      </c>
      <c r="C12" s="26" t="s">
        <v>51</v>
      </c>
      <c r="D12" s="34">
        <v>0</v>
      </c>
      <c r="E12" s="34">
        <v>0</v>
      </c>
      <c r="F12" s="34">
        <v>0</v>
      </c>
      <c r="G12" s="34">
        <v>125</v>
      </c>
      <c r="H12" s="34">
        <v>0</v>
      </c>
      <c r="I12" s="27">
        <v>0</v>
      </c>
      <c r="J12" s="27">
        <v>0</v>
      </c>
      <c r="K12" s="27">
        <v>0</v>
      </c>
      <c r="L12" s="27">
        <v>0</v>
      </c>
      <c r="M12" s="27">
        <v>0</v>
      </c>
      <c r="N12" s="27">
        <v>500</v>
      </c>
      <c r="O12" s="35" t="e">
        <f>SUMIFS(#REF!,#REF!,"2019",#REF!,"ADB",#REF!,'11-20 Appr (ADB and OSF only)'!$A12)-SUMIFS(#REF!,#REF!,"2019",#REF!,"ADB",#REF!,'11-20 Appr (ADB and OSF only)'!$A12,#REF!,"TA")-SUMIFS(#REF!,#REF!,"2019",#REF!,"ADB",#REF!,'11-20 Appr (ADB and OSF only)'!$A12,#REF!,"TA Cluster")+SUMIFS(#REF!,#REF!,"2019",#REF!,"Special Fund",#REF!,'11-20 Appr (ADB and OSF only)'!$A12)-SUMIFS(#REF!,#REF!,"2019",#REF!,"Special Fund",#REF!,'11-20 Appr (ADB and OSF only)'!$A12,#REF!,"TA")-SUMIFS(#REF!,#REF!,"2019",#REF!,"Special Fund",#REF!,'11-20 Appr (ADB and OSF only)'!$A12,#REF!,"TA Cluster")-SUMIFS(#REF!,#REF!,"2019",#REF!,"Special Fund",#REF!,'11-20 Appr (ADB and OSF only)'!$A12,#REF!,"MFF")-SUMIFS(#REF!,#REF!,"2019",#REF!,"ADB",#REF!,'11-20 Appr (ADB and OSF only)'!$A12,#REF!,"MFF")-SUMIFS(#REF!,#REF!,"2019",#REF!,"Special Fund",#REF!,'11-20 Appr (ADB and OSF only)'!$A12,#REF!,"Investment Facility")-SUMIFS(#REF!,#REF!,"2019",#REF!,"ADB",#REF!,'11-20 Appr (ADB and OSF only)'!$A12,#REF!,"Investment Facility")</f>
        <v>#REF!</v>
      </c>
      <c r="P12" s="35" t="e">
        <f>SUMIFS(#REF!,#REF!,"2020",#REF!,"ADB",#REF!,'11-20 Appr (ADB and OSF only)'!$A12)-SUMIFS(#REF!,#REF!,"2020",#REF!,"ADB",#REF!,'11-20 Appr (ADB and OSF only)'!$A12,#REF!,"TA")-SUMIFS(#REF!,#REF!,"2020",#REF!,"ADB",#REF!,'11-20 Appr (ADB and OSF only)'!$A12,#REF!,"TA Cluster")+SUMIFS(#REF!,#REF!,"2020",#REF!,"Special Fund",#REF!,'11-20 Appr (ADB and OSF only)'!$A12)-SUMIFS(#REF!,#REF!,"2020",#REF!,"Special Fund",#REF!,'11-20 Appr (ADB and OSF only)'!$A12,#REF!,"TA")-SUMIFS(#REF!,#REF!,"2020",#REF!,"Special Fund",#REF!,'11-20 Appr (ADB and OSF only)'!$A12,#REF!,"TA Cluster")-SUMIFS(#REF!,#REF!,"2020",#REF!,"Special Fund",#REF!,'11-20 Appr (ADB and OSF only)'!$A12,#REF!,"MFF")-SUMIFS(#REF!,#REF!,"2020",#REF!,"ADB",#REF!,'11-20 Appr (ADB and OSF only)'!$A12,#REF!,"MFF")-SUMIFS(#REF!,#REF!,"2020",#REF!,"Special Fund",#REF!,'11-20 Appr (ADB and OSF only)'!$A12,#REF!,"Investment Facility")-SUMIFS(#REF!,#REF!,"2020",#REF!,"ADB",#REF!,'11-20 Appr (ADB and OSF only)'!$A12,#REF!,"Investment Facility")</f>
        <v>#REF!</v>
      </c>
    </row>
    <row r="13" spans="1:16" ht="14.25">
      <c r="A13" t="s">
        <v>187</v>
      </c>
      <c r="C13" s="28" t="s">
        <v>53</v>
      </c>
      <c r="D13" s="34">
        <v>130</v>
      </c>
      <c r="E13" s="34">
        <v>60</v>
      </c>
      <c r="F13" s="34">
        <v>655</v>
      </c>
      <c r="G13" s="34">
        <v>1178</v>
      </c>
      <c r="H13" s="36">
        <v>451</v>
      </c>
      <c r="I13" s="27">
        <v>691</v>
      </c>
      <c r="J13" s="37">
        <v>300</v>
      </c>
      <c r="K13" s="27">
        <v>781</v>
      </c>
      <c r="L13" s="27">
        <v>572.9</v>
      </c>
      <c r="M13" s="27">
        <v>1074.9999999999998</v>
      </c>
      <c r="N13" s="27">
        <v>840.00000000000011</v>
      </c>
      <c r="O13" s="35" t="e">
        <f>SUMIFS(#REF!,#REF!,"2019",#REF!,"ADB",#REF!,'11-20 Appr (ADB and OSF only)'!$A13)-SUMIFS(#REF!,#REF!,"2019",#REF!,"ADB",#REF!,'11-20 Appr (ADB and OSF only)'!$A13,#REF!,"TA")-SUMIFS(#REF!,#REF!,"2019",#REF!,"ADB",#REF!,'11-20 Appr (ADB and OSF only)'!$A13,#REF!,"TA Cluster")+SUMIFS(#REF!,#REF!,"2019",#REF!,"Special Fund",#REF!,'11-20 Appr (ADB and OSF only)'!$A13)-SUMIFS(#REF!,#REF!,"2019",#REF!,"Special Fund",#REF!,'11-20 Appr (ADB and OSF only)'!$A13,#REF!,"TA")-SUMIFS(#REF!,#REF!,"2019",#REF!,"Special Fund",#REF!,'11-20 Appr (ADB and OSF only)'!$A13,#REF!,"TA Cluster")-SUMIFS(#REF!,#REF!,"2019",#REF!,"Special Fund",#REF!,'11-20 Appr (ADB and OSF only)'!$A13,#REF!,"MFF")-SUMIFS(#REF!,#REF!,"2019",#REF!,"ADB",#REF!,'11-20 Appr (ADB and OSF only)'!$A13,#REF!,"MFF")-SUMIFS(#REF!,#REF!,"2019",#REF!,"Special Fund",#REF!,'11-20 Appr (ADB and OSF only)'!$A13,#REF!,"Investment Facility")-SUMIFS(#REF!,#REF!,"2019",#REF!,"ADB",#REF!,'11-20 Appr (ADB and OSF only)'!$A13,#REF!,"Investment Facility")</f>
        <v>#REF!</v>
      </c>
      <c r="P13" s="35" t="e">
        <f>SUMIFS(#REF!,#REF!,"2020",#REF!,"ADB",#REF!,'11-20 Appr (ADB and OSF only)'!$A13)-SUMIFS(#REF!,#REF!,"2020",#REF!,"ADB",#REF!,'11-20 Appr (ADB and OSF only)'!$A13,#REF!,"TA")-SUMIFS(#REF!,#REF!,"2020",#REF!,"ADB",#REF!,'11-20 Appr (ADB and OSF only)'!$A13,#REF!,"TA Cluster")+SUMIFS(#REF!,#REF!,"2020",#REF!,"Special Fund",#REF!,'11-20 Appr (ADB and OSF only)'!$A13)-SUMIFS(#REF!,#REF!,"2020",#REF!,"Special Fund",#REF!,'11-20 Appr (ADB and OSF only)'!$A13,#REF!,"TA")-SUMIFS(#REF!,#REF!,"2020",#REF!,"Special Fund",#REF!,'11-20 Appr (ADB and OSF only)'!$A13,#REF!,"TA Cluster")-SUMIFS(#REF!,#REF!,"2020",#REF!,"Special Fund",#REF!,'11-20 Appr (ADB and OSF only)'!$A13,#REF!,"MFF")-SUMIFS(#REF!,#REF!,"2020",#REF!,"ADB",#REF!,'11-20 Appr (ADB and OSF only)'!$A13,#REF!,"MFF")-SUMIFS(#REF!,#REF!,"2020",#REF!,"Special Fund",#REF!,'11-20 Appr (ADB and OSF only)'!$A13,#REF!,"Investment Facility")-SUMIFS(#REF!,#REF!,"2020",#REF!,"ADB",#REF!,'11-20 Appr (ADB and OSF only)'!$A13,#REF!,"Investment Facility")</f>
        <v>#REF!</v>
      </c>
    </row>
    <row r="14" spans="1:16" ht="15">
      <c r="C14" s="25" t="s">
        <v>188</v>
      </c>
      <c r="D14" s="31">
        <v>3530.2108000000007</v>
      </c>
      <c r="E14" s="31">
        <v>3624.81</v>
      </c>
      <c r="F14" s="31">
        <v>4109.8379999999997</v>
      </c>
      <c r="G14" s="31">
        <v>4398.71</v>
      </c>
      <c r="H14" s="38">
        <v>3815.4200000000033</v>
      </c>
      <c r="I14" s="33">
        <v>4043.5</v>
      </c>
      <c r="J14" s="39">
        <v>4900.5599999999995</v>
      </c>
      <c r="K14" s="39">
        <v>4407.2</v>
      </c>
      <c r="L14" s="39">
        <f>SUM(L15:L20)</f>
        <v>4972.78</v>
      </c>
      <c r="M14" s="39">
        <f>SUM(M15:M20)</f>
        <v>5876.8</v>
      </c>
      <c r="N14" s="39">
        <v>6719.2939999999981</v>
      </c>
      <c r="O14" s="39" t="e">
        <f>SUM(O15:O20)</f>
        <v>#REF!</v>
      </c>
      <c r="P14" s="39" t="e">
        <f>SUM(P15:P20)</f>
        <v>#REF!</v>
      </c>
    </row>
    <row r="15" spans="1:16" ht="14.25">
      <c r="A15" t="s">
        <v>189</v>
      </c>
      <c r="C15" s="26" t="s">
        <v>12</v>
      </c>
      <c r="D15" s="34">
        <v>592</v>
      </c>
      <c r="E15" s="34">
        <v>1027.8499999999999</v>
      </c>
      <c r="F15" s="34">
        <v>1249</v>
      </c>
      <c r="G15" s="34">
        <v>931.3</v>
      </c>
      <c r="H15" s="34">
        <v>1089.0999999999999</v>
      </c>
      <c r="I15" s="27">
        <v>872</v>
      </c>
      <c r="J15" s="27">
        <v>968</v>
      </c>
      <c r="K15" s="27">
        <v>1185</v>
      </c>
      <c r="L15" s="27">
        <f>1117-5</f>
        <v>1112</v>
      </c>
      <c r="M15" s="27">
        <v>1959</v>
      </c>
      <c r="N15" s="27">
        <v>2469.1999999999998</v>
      </c>
      <c r="O15" s="35" t="e">
        <f>SUMIFS(#REF!,#REF!,"2019",#REF!,"ADB",#REF!,'11-20 Appr (ADB and OSF only)'!$A15)-SUMIFS(#REF!,#REF!,"2019",#REF!,"ADB",#REF!,'11-20 Appr (ADB and OSF only)'!$A15,#REF!,"TA")-SUMIFS(#REF!,#REF!,"2019",#REF!,"ADB",#REF!,'11-20 Appr (ADB and OSF only)'!$A15,#REF!,"TA Cluster")+SUMIFS(#REF!,#REF!,"2019",#REF!,"Special Fund",#REF!,'11-20 Appr (ADB and OSF only)'!$A15)-SUMIFS(#REF!,#REF!,"2019",#REF!,"Special Fund",#REF!,'11-20 Appr (ADB and OSF only)'!$A15,#REF!,"TA")-SUMIFS(#REF!,#REF!,"2019",#REF!,"Special Fund",#REF!,'11-20 Appr (ADB and OSF only)'!$A15,#REF!,"TA Cluster")-SUMIFS(#REF!,#REF!,"2019",#REF!,"Special Fund",#REF!,'11-20 Appr (ADB and OSF only)'!$A15,#REF!,"MFF")-SUMIFS(#REF!,#REF!,"2019",#REF!,"ADB",#REF!,'11-20 Appr (ADB and OSF only)'!$A15,#REF!,"MFF")-SUMIFS(#REF!,#REF!,"2019",#REF!,"Special Fund",#REF!,'11-20 Appr (ADB and OSF only)'!$A15,#REF!,"Investment Facility")-SUMIFS(#REF!,#REF!,"2019",#REF!,"ADB",#REF!,'11-20 Appr (ADB and OSF only)'!$A15,#REF!,"Investment Facility")</f>
        <v>#REF!</v>
      </c>
      <c r="P15" s="35" t="e">
        <f>SUMIFS(#REF!,#REF!,"2020",#REF!,"ADB",#REF!,'11-20 Appr (ADB and OSF only)'!$A15)-SUMIFS(#REF!,#REF!,"2020",#REF!,"ADB",#REF!,'11-20 Appr (ADB and OSF only)'!$A15,#REF!,"TA")-SUMIFS(#REF!,#REF!,"2020",#REF!,"ADB",#REF!,'11-20 Appr (ADB and OSF only)'!$A15,#REF!,"TA Cluster")+SUMIFS(#REF!,#REF!,"2020",#REF!,"Special Fund",#REF!,'11-20 Appr (ADB and OSF only)'!$A15)-SUMIFS(#REF!,#REF!,"2020",#REF!,"Special Fund",#REF!,'11-20 Appr (ADB and OSF only)'!$A15,#REF!,"TA")-SUMIFS(#REF!,#REF!,"2020",#REF!,"Special Fund",#REF!,'11-20 Appr (ADB and OSF only)'!$A15,#REF!,"TA Cluster")-SUMIFS(#REF!,#REF!,"2020",#REF!,"Special Fund",#REF!,'11-20 Appr (ADB and OSF only)'!$A15,#REF!,"MFF")-SUMIFS(#REF!,#REF!,"2020",#REF!,"ADB",#REF!,'11-20 Appr (ADB and OSF only)'!$A15,#REF!,"MFF")-SUMIFS(#REF!,#REF!,"2020",#REF!,"Special Fund",#REF!,'11-20 Appr (ADB and OSF only)'!$A15,#REF!,"Investment Facility")-SUMIFS(#REF!,#REF!,"2020",#REF!,"ADB",#REF!,'11-20 Appr (ADB and OSF only)'!$A15,#REF!,"Investment Facility")</f>
        <v>#REF!</v>
      </c>
    </row>
    <row r="16" spans="1:16" ht="14.25">
      <c r="A16" t="s">
        <v>190</v>
      </c>
      <c r="C16" s="26" t="s">
        <v>14</v>
      </c>
      <c r="D16" s="34">
        <v>105.28</v>
      </c>
      <c r="E16" s="34">
        <v>38.76</v>
      </c>
      <c r="F16" s="34">
        <v>21.59</v>
      </c>
      <c r="G16" s="34">
        <v>19.87</v>
      </c>
      <c r="H16" s="34">
        <v>18.59</v>
      </c>
      <c r="I16" s="27">
        <v>74</v>
      </c>
      <c r="J16" s="27">
        <v>170.85</v>
      </c>
      <c r="K16" s="27">
        <v>39.20000000000001</v>
      </c>
      <c r="L16" s="27">
        <v>27.87</v>
      </c>
      <c r="M16" s="27">
        <v>0</v>
      </c>
      <c r="N16" s="27">
        <v>98</v>
      </c>
      <c r="O16" s="35" t="e">
        <f>SUMIFS(#REF!,#REF!,"2019",#REF!,"ADB",#REF!,'11-20 Appr (ADB and OSF only)'!$A16)-SUMIFS(#REF!,#REF!,"2019",#REF!,"ADB",#REF!,'11-20 Appr (ADB and OSF only)'!$A16,#REF!,"TA")-SUMIFS(#REF!,#REF!,"2019",#REF!,"ADB",#REF!,'11-20 Appr (ADB and OSF only)'!$A16,#REF!,"TA Cluster")+SUMIFS(#REF!,#REF!,"2019",#REF!,"Special Fund",#REF!,'11-20 Appr (ADB and OSF only)'!$A16)-SUMIFS(#REF!,#REF!,"2019",#REF!,"Special Fund",#REF!,'11-20 Appr (ADB and OSF only)'!$A16,#REF!,"TA")-SUMIFS(#REF!,#REF!,"2019",#REF!,"Special Fund",#REF!,'11-20 Appr (ADB and OSF only)'!$A16,#REF!,"TA Cluster")-SUMIFS(#REF!,#REF!,"2019",#REF!,"Special Fund",#REF!,'11-20 Appr (ADB and OSF only)'!$A16,#REF!,"MFF")-SUMIFS(#REF!,#REF!,"2019",#REF!,"ADB",#REF!,'11-20 Appr (ADB and OSF only)'!$A16,#REF!,"MFF")-SUMIFS(#REF!,#REF!,"2019",#REF!,"Special Fund",#REF!,'11-20 Appr (ADB and OSF only)'!$A16,#REF!,"Investment Facility")-SUMIFS(#REF!,#REF!,"2019",#REF!,"ADB",#REF!,'11-20 Appr (ADB and OSF only)'!$A16,#REF!,"Investment Facility")</f>
        <v>#REF!</v>
      </c>
      <c r="P16" s="35" t="e">
        <f>SUMIFS(#REF!,#REF!,"2020",#REF!,"ADB",#REF!,'11-20 Appr (ADB and OSF only)'!$A16)-SUMIFS(#REF!,#REF!,"2020",#REF!,"ADB",#REF!,'11-20 Appr (ADB and OSF only)'!$A16,#REF!,"TA")-SUMIFS(#REF!,#REF!,"2020",#REF!,"ADB",#REF!,'11-20 Appr (ADB and OSF only)'!$A16,#REF!,"TA Cluster")+SUMIFS(#REF!,#REF!,"2020",#REF!,"Special Fund",#REF!,'11-20 Appr (ADB and OSF only)'!$A16)-SUMIFS(#REF!,#REF!,"2020",#REF!,"Special Fund",#REF!,'11-20 Appr (ADB and OSF only)'!$A16,#REF!,"TA")-SUMIFS(#REF!,#REF!,"2020",#REF!,"Special Fund",#REF!,'11-20 Appr (ADB and OSF only)'!$A16,#REF!,"TA Cluster")-SUMIFS(#REF!,#REF!,"2020",#REF!,"Special Fund",#REF!,'11-20 Appr (ADB and OSF only)'!$A16,#REF!,"MFF")-SUMIFS(#REF!,#REF!,"2020",#REF!,"ADB",#REF!,'11-20 Appr (ADB and OSF only)'!$A16,#REF!,"MFF")-SUMIFS(#REF!,#REF!,"2020",#REF!,"Special Fund",#REF!,'11-20 Appr (ADB and OSF only)'!$A16,#REF!,"Investment Facility")-SUMIFS(#REF!,#REF!,"2020",#REF!,"ADB",#REF!,'11-20 Appr (ADB and OSF only)'!$A16,#REF!,"Investment Facility")</f>
        <v>#REF!</v>
      </c>
    </row>
    <row r="17" spans="1:16" ht="14.25">
      <c r="A17" t="s">
        <v>191</v>
      </c>
      <c r="C17" s="26" t="s">
        <v>25</v>
      </c>
      <c r="D17" s="34">
        <v>2501.1308000000004</v>
      </c>
      <c r="E17" s="34">
        <v>1851</v>
      </c>
      <c r="F17" s="34">
        <v>2119.578</v>
      </c>
      <c r="G17" s="34">
        <v>2892.94</v>
      </c>
      <c r="H17" s="34">
        <v>2226.910000000003</v>
      </c>
      <c r="I17" s="27">
        <v>2343.5</v>
      </c>
      <c r="J17" s="27">
        <v>2866.71</v>
      </c>
      <c r="K17" s="27">
        <v>2356.9999999999995</v>
      </c>
      <c r="L17" s="27">
        <v>2815</v>
      </c>
      <c r="M17" s="27">
        <v>2609.5</v>
      </c>
      <c r="N17" s="27">
        <v>2900.1599999999994</v>
      </c>
      <c r="O17" s="35" t="e">
        <f>SUMIFS(#REF!,#REF!,"2019",#REF!,"ADB",#REF!,'11-20 Appr (ADB and OSF only)'!$A17)-SUMIFS(#REF!,#REF!,"2019",#REF!,"ADB",#REF!,'11-20 Appr (ADB and OSF only)'!$A17,#REF!,"TA")-SUMIFS(#REF!,#REF!,"2019",#REF!,"ADB",#REF!,'11-20 Appr (ADB and OSF only)'!$A17,#REF!,"TA Cluster")+SUMIFS(#REF!,#REF!,"2019",#REF!,"Special Fund",#REF!,'11-20 Appr (ADB and OSF only)'!$A17)-SUMIFS(#REF!,#REF!,"2019",#REF!,"Special Fund",#REF!,'11-20 Appr (ADB and OSF only)'!$A17,#REF!,"TA")-SUMIFS(#REF!,#REF!,"2019",#REF!,"Special Fund",#REF!,'11-20 Appr (ADB and OSF only)'!$A17,#REF!,"TA Cluster")-SUMIFS(#REF!,#REF!,"2019",#REF!,"Special Fund",#REF!,'11-20 Appr (ADB and OSF only)'!$A17,#REF!,"MFF")-SUMIFS(#REF!,#REF!,"2019",#REF!,"ADB",#REF!,'11-20 Appr (ADB and OSF only)'!$A17,#REF!,"MFF")-SUMIFS(#REF!,#REF!,"2019",#REF!,"Special Fund",#REF!,'11-20 Appr (ADB and OSF only)'!$A17,#REF!,"Investment Facility")-SUMIFS(#REF!,#REF!,"2019",#REF!,"ADB",#REF!,'11-20 Appr (ADB and OSF only)'!$A17,#REF!,"Investment Facility")</f>
        <v>#REF!</v>
      </c>
      <c r="P17" s="35" t="e">
        <f>SUMIFS(#REF!,#REF!,"2020",#REF!,"ADB",#REF!,'11-20 Appr (ADB and OSF only)'!$A17)-SUMIFS(#REF!,#REF!,"2020",#REF!,"ADB",#REF!,'11-20 Appr (ADB and OSF only)'!$A17,#REF!,"TA")-SUMIFS(#REF!,#REF!,"2020",#REF!,"ADB",#REF!,'11-20 Appr (ADB and OSF only)'!$A17,#REF!,"TA Cluster")+SUMIFS(#REF!,#REF!,"2020",#REF!,"Special Fund",#REF!,'11-20 Appr (ADB and OSF only)'!$A17)-SUMIFS(#REF!,#REF!,"2020",#REF!,"Special Fund",#REF!,'11-20 Appr (ADB and OSF only)'!$A17,#REF!,"TA")-SUMIFS(#REF!,#REF!,"2020",#REF!,"Special Fund",#REF!,'11-20 Appr (ADB and OSF only)'!$A17,#REF!,"TA Cluster")-SUMIFS(#REF!,#REF!,"2020",#REF!,"Special Fund",#REF!,'11-20 Appr (ADB and OSF only)'!$A17,#REF!,"MFF")-SUMIFS(#REF!,#REF!,"2020",#REF!,"ADB",#REF!,'11-20 Appr (ADB and OSF only)'!$A17,#REF!,"MFF")-SUMIFS(#REF!,#REF!,"2020",#REF!,"Special Fund",#REF!,'11-20 Appr (ADB and OSF only)'!$A17,#REF!,"Investment Facility")-SUMIFS(#REF!,#REF!,"2020",#REF!,"ADB",#REF!,'11-20 Appr (ADB and OSF only)'!$A17,#REF!,"Investment Facility")</f>
        <v>#REF!</v>
      </c>
    </row>
    <row r="18" spans="1:16" ht="14.25">
      <c r="A18" t="s">
        <v>192</v>
      </c>
      <c r="C18" s="26" t="s">
        <v>33</v>
      </c>
      <c r="D18" s="34">
        <v>19.5</v>
      </c>
      <c r="E18" s="34">
        <v>36.5</v>
      </c>
      <c r="F18" s="34">
        <v>0</v>
      </c>
      <c r="G18" s="34">
        <v>0</v>
      </c>
      <c r="H18" s="34">
        <v>10.02</v>
      </c>
      <c r="I18" s="27">
        <v>0</v>
      </c>
      <c r="J18" s="27">
        <v>38</v>
      </c>
      <c r="K18" s="27">
        <v>0</v>
      </c>
      <c r="L18" s="27">
        <v>9.69</v>
      </c>
      <c r="M18" s="27">
        <v>0</v>
      </c>
      <c r="N18" s="27">
        <v>33.07</v>
      </c>
      <c r="O18" s="35" t="e">
        <f>SUMIFS(#REF!,#REF!,"2019",#REF!,"ADB",#REF!,'11-20 Appr (ADB and OSF only)'!$A18)-SUMIFS(#REF!,#REF!,"2019",#REF!,"ADB",#REF!,'11-20 Appr (ADB and OSF only)'!$A18,#REF!,"TA")-SUMIFS(#REF!,#REF!,"2019",#REF!,"ADB",#REF!,'11-20 Appr (ADB and OSF only)'!$A18,#REF!,"TA Cluster")+SUMIFS(#REF!,#REF!,"2019",#REF!,"Special Fund",#REF!,'11-20 Appr (ADB and OSF only)'!$A18)-SUMIFS(#REF!,#REF!,"2019",#REF!,"Special Fund",#REF!,'11-20 Appr (ADB and OSF only)'!$A18,#REF!,"TA")-SUMIFS(#REF!,#REF!,"2019",#REF!,"Special Fund",#REF!,'11-20 Appr (ADB and OSF only)'!$A18,#REF!,"TA Cluster")-SUMIFS(#REF!,#REF!,"2019",#REF!,"Special Fund",#REF!,'11-20 Appr (ADB and OSF only)'!$A18,#REF!,"MFF")-SUMIFS(#REF!,#REF!,"2019",#REF!,"ADB",#REF!,'11-20 Appr (ADB and OSF only)'!$A18,#REF!,"MFF")-SUMIFS(#REF!,#REF!,"2019",#REF!,"Special Fund",#REF!,'11-20 Appr (ADB and OSF only)'!$A18,#REF!,"Investment Facility")-SUMIFS(#REF!,#REF!,"2019",#REF!,"ADB",#REF!,'11-20 Appr (ADB and OSF only)'!$A18,#REF!,"Investment Facility")</f>
        <v>#REF!</v>
      </c>
      <c r="P18" s="35" t="e">
        <f>SUMIFS(#REF!,#REF!,"2020",#REF!,"ADB",#REF!,'11-20 Appr (ADB and OSF only)'!$A18)-SUMIFS(#REF!,#REF!,"2020",#REF!,"ADB",#REF!,'11-20 Appr (ADB and OSF only)'!$A18,#REF!,"TA")-SUMIFS(#REF!,#REF!,"2020",#REF!,"ADB",#REF!,'11-20 Appr (ADB and OSF only)'!$A18,#REF!,"TA Cluster")+SUMIFS(#REF!,#REF!,"2020",#REF!,"Special Fund",#REF!,'11-20 Appr (ADB and OSF only)'!$A18)-SUMIFS(#REF!,#REF!,"2020",#REF!,"Special Fund",#REF!,'11-20 Appr (ADB and OSF only)'!$A18,#REF!,"TA")-SUMIFS(#REF!,#REF!,"2020",#REF!,"Special Fund",#REF!,'11-20 Appr (ADB and OSF only)'!$A18,#REF!,"TA Cluster")-SUMIFS(#REF!,#REF!,"2020",#REF!,"Special Fund",#REF!,'11-20 Appr (ADB and OSF only)'!$A18,#REF!,"MFF")-SUMIFS(#REF!,#REF!,"2020",#REF!,"ADB",#REF!,'11-20 Appr (ADB and OSF only)'!$A18,#REF!,"MFF")-SUMIFS(#REF!,#REF!,"2020",#REF!,"Special Fund",#REF!,'11-20 Appr (ADB and OSF only)'!$A18,#REF!,"Investment Facility")-SUMIFS(#REF!,#REF!,"2020",#REF!,"ADB",#REF!,'11-20 Appr (ADB and OSF only)'!$A18,#REF!,"Investment Facility")</f>
        <v>#REF!</v>
      </c>
    </row>
    <row r="19" spans="1:16" ht="14.25">
      <c r="A19" t="s">
        <v>193</v>
      </c>
      <c r="C19" s="26" t="s">
        <v>37</v>
      </c>
      <c r="D19" s="34">
        <v>139.30000000000001</v>
      </c>
      <c r="E19" s="34">
        <v>336.5</v>
      </c>
      <c r="F19" s="34">
        <v>262.5</v>
      </c>
      <c r="G19" s="34">
        <v>270</v>
      </c>
      <c r="H19" s="34">
        <v>103.8</v>
      </c>
      <c r="I19" s="27">
        <v>376</v>
      </c>
      <c r="J19" s="27">
        <v>325</v>
      </c>
      <c r="K19" s="27">
        <v>293</v>
      </c>
      <c r="L19" s="27">
        <v>306.8</v>
      </c>
      <c r="M19" s="27">
        <v>421.00000000000006</v>
      </c>
      <c r="N19" s="27">
        <v>488.86399999999998</v>
      </c>
      <c r="O19" s="35" t="e">
        <f>SUMIFS(#REF!,#REF!,"2019",#REF!,"ADB",#REF!,'11-20 Appr (ADB and OSF only)'!$A19)-SUMIFS(#REF!,#REF!,"2019",#REF!,"ADB",#REF!,'11-20 Appr (ADB and OSF only)'!$A19,#REF!,"TA")-SUMIFS(#REF!,#REF!,"2019",#REF!,"ADB",#REF!,'11-20 Appr (ADB and OSF only)'!$A19,#REF!,"TA Cluster")+SUMIFS(#REF!,#REF!,"2019",#REF!,"Special Fund",#REF!,'11-20 Appr (ADB and OSF only)'!$A19)-SUMIFS(#REF!,#REF!,"2019",#REF!,"Special Fund",#REF!,'11-20 Appr (ADB and OSF only)'!$A19,#REF!,"TA")-SUMIFS(#REF!,#REF!,"2019",#REF!,"Special Fund",#REF!,'11-20 Appr (ADB and OSF only)'!$A19,#REF!,"TA Cluster")-SUMIFS(#REF!,#REF!,"2019",#REF!,"Special Fund",#REF!,'11-20 Appr (ADB and OSF only)'!$A19,#REF!,"MFF")-SUMIFS(#REF!,#REF!,"2019",#REF!,"ADB",#REF!,'11-20 Appr (ADB and OSF only)'!$A19,#REF!,"MFF")-SUMIFS(#REF!,#REF!,"2019",#REF!,"Special Fund",#REF!,'11-20 Appr (ADB and OSF only)'!$A19,#REF!,"Investment Facility")-SUMIFS(#REF!,#REF!,"2019",#REF!,"ADB",#REF!,'11-20 Appr (ADB and OSF only)'!$A19,#REF!,"Investment Facility")</f>
        <v>#REF!</v>
      </c>
      <c r="P19" s="35" t="e">
        <f>SUMIFS(#REF!,#REF!,"2020",#REF!,"ADB",#REF!,'11-20 Appr (ADB and OSF only)'!$A19)-SUMIFS(#REF!,#REF!,"2020",#REF!,"ADB",#REF!,'11-20 Appr (ADB and OSF only)'!$A19,#REF!,"TA")-SUMIFS(#REF!,#REF!,"2020",#REF!,"ADB",#REF!,'11-20 Appr (ADB and OSF only)'!$A19,#REF!,"TA Cluster")+SUMIFS(#REF!,#REF!,"2020",#REF!,"Special Fund",#REF!,'11-20 Appr (ADB and OSF only)'!$A19)-SUMIFS(#REF!,#REF!,"2020",#REF!,"Special Fund",#REF!,'11-20 Appr (ADB and OSF only)'!$A19,#REF!,"TA")-SUMIFS(#REF!,#REF!,"2020",#REF!,"Special Fund",#REF!,'11-20 Appr (ADB and OSF only)'!$A19,#REF!,"TA Cluster")-SUMIFS(#REF!,#REF!,"2020",#REF!,"Special Fund",#REF!,'11-20 Appr (ADB and OSF only)'!$A19,#REF!,"MFF")-SUMIFS(#REF!,#REF!,"2020",#REF!,"ADB",#REF!,'11-20 Appr (ADB and OSF only)'!$A19,#REF!,"MFF")-SUMIFS(#REF!,#REF!,"2020",#REF!,"Special Fund",#REF!,'11-20 Appr (ADB and OSF only)'!$A19,#REF!,"Investment Facility")-SUMIFS(#REF!,#REF!,"2020",#REF!,"ADB",#REF!,'11-20 Appr (ADB and OSF only)'!$A19,#REF!,"Investment Facility")</f>
        <v>#REF!</v>
      </c>
    </row>
    <row r="20" spans="1:16" ht="14.25">
      <c r="A20" t="s">
        <v>194</v>
      </c>
      <c r="C20" s="28" t="s">
        <v>46</v>
      </c>
      <c r="D20" s="34">
        <v>173</v>
      </c>
      <c r="E20" s="34">
        <v>334.2</v>
      </c>
      <c r="F20" s="34">
        <v>457.17</v>
      </c>
      <c r="G20" s="34">
        <v>284.60000000000002</v>
      </c>
      <c r="H20" s="36">
        <v>367</v>
      </c>
      <c r="I20" s="27">
        <v>378</v>
      </c>
      <c r="J20" s="37">
        <v>532</v>
      </c>
      <c r="K20" s="27">
        <v>533</v>
      </c>
      <c r="L20" s="27">
        <v>701.42</v>
      </c>
      <c r="M20" s="27">
        <v>887.3</v>
      </c>
      <c r="N20" s="27">
        <v>730</v>
      </c>
      <c r="O20" s="35" t="e">
        <f>SUMIFS(#REF!,#REF!,"2019",#REF!,"ADB",#REF!,'11-20 Appr (ADB and OSF only)'!$A20)-SUMIFS(#REF!,#REF!,"2019",#REF!,"ADB",#REF!,'11-20 Appr (ADB and OSF only)'!$A20,#REF!,"TA")-SUMIFS(#REF!,#REF!,"2019",#REF!,"ADB",#REF!,'11-20 Appr (ADB and OSF only)'!$A20,#REF!,"TA Cluster")+SUMIFS(#REF!,#REF!,"2019",#REF!,"Special Fund",#REF!,'11-20 Appr (ADB and OSF only)'!$A20)-SUMIFS(#REF!,#REF!,"2019",#REF!,"Special Fund",#REF!,'11-20 Appr (ADB and OSF only)'!$A20,#REF!,"TA")-SUMIFS(#REF!,#REF!,"2019",#REF!,"Special Fund",#REF!,'11-20 Appr (ADB and OSF only)'!$A20,#REF!,"TA Cluster")-SUMIFS(#REF!,#REF!,"2019",#REF!,"Special Fund",#REF!,'11-20 Appr (ADB and OSF only)'!$A20,#REF!,"MFF")-SUMIFS(#REF!,#REF!,"2019",#REF!,"ADB",#REF!,'11-20 Appr (ADB and OSF only)'!$A20,#REF!,"MFF")-SUMIFS(#REF!,#REF!,"2019",#REF!,"Special Fund",#REF!,'11-20 Appr (ADB and OSF only)'!$A20,#REF!,"Investment Facility")-SUMIFS(#REF!,#REF!,"2019",#REF!,"ADB",#REF!,'11-20 Appr (ADB and OSF only)'!$A20,#REF!,"Investment Facility")</f>
        <v>#REF!</v>
      </c>
      <c r="P20" s="35" t="e">
        <f>SUMIFS(#REF!,#REF!,"2020",#REF!,"ADB",#REF!,'11-20 Appr (ADB and OSF only)'!$A20)-SUMIFS(#REF!,#REF!,"2020",#REF!,"ADB",#REF!,'11-20 Appr (ADB and OSF only)'!$A20,#REF!,"TA")-SUMIFS(#REF!,#REF!,"2020",#REF!,"ADB",#REF!,'11-20 Appr (ADB and OSF only)'!$A20,#REF!,"TA Cluster")+SUMIFS(#REF!,#REF!,"2020",#REF!,"Special Fund",#REF!,'11-20 Appr (ADB and OSF only)'!$A20)-SUMIFS(#REF!,#REF!,"2020",#REF!,"Special Fund",#REF!,'11-20 Appr (ADB and OSF only)'!$A20,#REF!,"TA")-SUMIFS(#REF!,#REF!,"2020",#REF!,"Special Fund",#REF!,'11-20 Appr (ADB and OSF only)'!$A20,#REF!,"TA Cluster")-SUMIFS(#REF!,#REF!,"2020",#REF!,"Special Fund",#REF!,'11-20 Appr (ADB and OSF only)'!$A20,#REF!,"MFF")-SUMIFS(#REF!,#REF!,"2020",#REF!,"ADB",#REF!,'11-20 Appr (ADB and OSF only)'!$A20,#REF!,"MFF")-SUMIFS(#REF!,#REF!,"2020",#REF!,"Special Fund",#REF!,'11-20 Appr (ADB and OSF only)'!$A20,#REF!,"Investment Facility")-SUMIFS(#REF!,#REF!,"2020",#REF!,"ADB",#REF!,'11-20 Appr (ADB and OSF only)'!$A20,#REF!,"Investment Facility")</f>
        <v>#REF!</v>
      </c>
    </row>
    <row r="21" spans="1:16" ht="15">
      <c r="C21" s="25" t="s">
        <v>195</v>
      </c>
      <c r="D21" s="31">
        <v>1824.4022320117474</v>
      </c>
      <c r="E21" s="31">
        <v>2030.8620142915718</v>
      </c>
      <c r="F21" s="31">
        <v>1694.0003785082299</v>
      </c>
      <c r="G21" s="31">
        <v>1504.84</v>
      </c>
      <c r="H21" s="38">
        <v>1903.9</v>
      </c>
      <c r="I21" s="33">
        <v>2165</v>
      </c>
      <c r="J21" s="39">
        <v>2028.5</v>
      </c>
      <c r="K21" s="39">
        <v>2329.0000000000005</v>
      </c>
      <c r="L21" s="39">
        <f>SUM(L22:L23)</f>
        <v>2188.0300000000007</v>
      </c>
      <c r="M21" s="39">
        <f>SUM(M22:M23)</f>
        <v>3110.35</v>
      </c>
      <c r="N21" s="39">
        <v>2473.91</v>
      </c>
      <c r="O21" s="39" t="e">
        <f>SUM(O22:O23)</f>
        <v>#REF!</v>
      </c>
      <c r="P21" s="39" t="e">
        <f>SUM(P22:P23)</f>
        <v>#REF!</v>
      </c>
    </row>
    <row r="22" spans="1:16" ht="14.25">
      <c r="A22" t="s">
        <v>196</v>
      </c>
      <c r="C22" s="26" t="s">
        <v>18</v>
      </c>
      <c r="D22" s="34">
        <v>1750.0822320117475</v>
      </c>
      <c r="E22" s="34">
        <v>1946.8320142915716</v>
      </c>
      <c r="F22" s="34">
        <v>1593.5003785082299</v>
      </c>
      <c r="G22" s="34">
        <v>1439.84</v>
      </c>
      <c r="H22" s="34">
        <v>1789</v>
      </c>
      <c r="I22" s="27">
        <v>2035</v>
      </c>
      <c r="J22" s="27">
        <v>1820</v>
      </c>
      <c r="K22" s="27">
        <v>2054.0000000000005</v>
      </c>
      <c r="L22" s="27">
        <v>2104.6000000000008</v>
      </c>
      <c r="M22" s="27">
        <v>2719</v>
      </c>
      <c r="N22" s="27">
        <v>2109.91</v>
      </c>
      <c r="O22" s="35" t="e">
        <f>SUMIFS(#REF!,#REF!,"2019",#REF!,"ADB",#REF!,'11-20 Appr (ADB and OSF only)'!$A22)-SUMIFS(#REF!,#REF!,"2019",#REF!,"ADB",#REF!,'11-20 Appr (ADB and OSF only)'!$A22,#REF!,"TA")-SUMIFS(#REF!,#REF!,"2019",#REF!,"ADB",#REF!,'11-20 Appr (ADB and OSF only)'!$A22,#REF!,"TA Cluster")+SUMIFS(#REF!,#REF!,"2019",#REF!,"Special Fund",#REF!,'11-20 Appr (ADB and OSF only)'!$A22)-SUMIFS(#REF!,#REF!,"2019",#REF!,"Special Fund",#REF!,'11-20 Appr (ADB and OSF only)'!$A22,#REF!,"TA")-SUMIFS(#REF!,#REF!,"2019",#REF!,"Special Fund",#REF!,'11-20 Appr (ADB and OSF only)'!$A22,#REF!,"TA Cluster")-SUMIFS(#REF!,#REF!,"2019",#REF!,"Special Fund",#REF!,'11-20 Appr (ADB and OSF only)'!$A22,#REF!,"MFF")-SUMIFS(#REF!,#REF!,"2019",#REF!,"ADB",#REF!,'11-20 Appr (ADB and OSF only)'!$A22,#REF!,"MFF")-SUMIFS(#REF!,#REF!,"2019",#REF!,"Special Fund",#REF!,'11-20 Appr (ADB and OSF only)'!$A22,#REF!,"Investment Facility")-SUMIFS(#REF!,#REF!,"2019",#REF!,"ADB",#REF!,'11-20 Appr (ADB and OSF only)'!$A22,#REF!,"Investment Facility")</f>
        <v>#REF!</v>
      </c>
      <c r="P22" s="35" t="e">
        <f>SUMIFS(#REF!,#REF!,"2020",#REF!,"ADB",#REF!,'11-20 Appr (ADB and OSF only)'!$A22)-SUMIFS(#REF!,#REF!,"2020",#REF!,"ADB",#REF!,'11-20 Appr (ADB and OSF only)'!$A22,#REF!,"TA")-SUMIFS(#REF!,#REF!,"2020",#REF!,"ADB",#REF!,'11-20 Appr (ADB and OSF only)'!$A22,#REF!,"TA Cluster")+SUMIFS(#REF!,#REF!,"2020",#REF!,"Special Fund",#REF!,'11-20 Appr (ADB and OSF only)'!$A22)-SUMIFS(#REF!,#REF!,"2020",#REF!,"Special Fund",#REF!,'11-20 Appr (ADB and OSF only)'!$A22,#REF!,"TA")-SUMIFS(#REF!,#REF!,"2020",#REF!,"Special Fund",#REF!,'11-20 Appr (ADB and OSF only)'!$A22,#REF!,"TA Cluster")-SUMIFS(#REF!,#REF!,"2020",#REF!,"Special Fund",#REF!,'11-20 Appr (ADB and OSF only)'!$A22,#REF!,"MFF")-SUMIFS(#REF!,#REF!,"2020",#REF!,"ADB",#REF!,'11-20 Appr (ADB and OSF only)'!$A22,#REF!,"MFF")-SUMIFS(#REF!,#REF!,"2020",#REF!,"Special Fund",#REF!,'11-20 Appr (ADB and OSF only)'!$A22,#REF!,"Investment Facility")-SUMIFS(#REF!,#REF!,"2020",#REF!,"ADB",#REF!,'11-20 Appr (ADB and OSF only)'!$A22,#REF!,"Investment Facility")</f>
        <v>#REF!</v>
      </c>
    </row>
    <row r="23" spans="1:16" ht="14.25">
      <c r="A23" t="s">
        <v>197</v>
      </c>
      <c r="C23" s="28" t="s">
        <v>35</v>
      </c>
      <c r="D23" s="34">
        <v>74.320000000000007</v>
      </c>
      <c r="E23" s="34">
        <v>84.03</v>
      </c>
      <c r="F23" s="34">
        <v>100.5</v>
      </c>
      <c r="G23" s="34">
        <v>65</v>
      </c>
      <c r="H23" s="36">
        <v>114.9</v>
      </c>
      <c r="I23" s="27">
        <v>130</v>
      </c>
      <c r="J23" s="37">
        <v>208.5</v>
      </c>
      <c r="K23" s="27">
        <v>275</v>
      </c>
      <c r="L23" s="27">
        <v>83.43</v>
      </c>
      <c r="M23" s="27">
        <v>391.35</v>
      </c>
      <c r="N23" s="27">
        <v>364</v>
      </c>
      <c r="O23" s="35" t="e">
        <f>SUMIFS(#REF!,#REF!,"2019",#REF!,"ADB",#REF!,'11-20 Appr (ADB and OSF only)'!$A23)-SUMIFS(#REF!,#REF!,"2019",#REF!,"ADB",#REF!,'11-20 Appr (ADB and OSF only)'!$A23,#REF!,"TA")-SUMIFS(#REF!,#REF!,"2019",#REF!,"ADB",#REF!,'11-20 Appr (ADB and OSF only)'!$A23,#REF!,"TA Cluster")+SUMIFS(#REF!,#REF!,"2019",#REF!,"Special Fund",#REF!,'11-20 Appr (ADB and OSF only)'!$A23)-SUMIFS(#REF!,#REF!,"2019",#REF!,"Special Fund",#REF!,'11-20 Appr (ADB and OSF only)'!$A23,#REF!,"TA")-SUMIFS(#REF!,#REF!,"2019",#REF!,"Special Fund",#REF!,'11-20 Appr (ADB and OSF only)'!$A23,#REF!,"TA Cluster")-SUMIFS(#REF!,#REF!,"2019",#REF!,"Special Fund",#REF!,'11-20 Appr (ADB and OSF only)'!$A23,#REF!,"MFF")-SUMIFS(#REF!,#REF!,"2019",#REF!,"ADB",#REF!,'11-20 Appr (ADB and OSF only)'!$A23,#REF!,"MFF")-SUMIFS(#REF!,#REF!,"2019",#REF!,"Special Fund",#REF!,'11-20 Appr (ADB and OSF only)'!$A23,#REF!,"Investment Facility")-SUMIFS(#REF!,#REF!,"2019",#REF!,"ADB",#REF!,'11-20 Appr (ADB and OSF only)'!$A23,#REF!,"Investment Facility")</f>
        <v>#REF!</v>
      </c>
      <c r="P23" s="35" t="e">
        <f>SUMIFS(#REF!,#REF!,"2020",#REF!,"ADB",#REF!,'11-20 Appr (ADB and OSF only)'!$A23)-SUMIFS(#REF!,#REF!,"2020",#REF!,"ADB",#REF!,'11-20 Appr (ADB and OSF only)'!$A23,#REF!,"TA")-SUMIFS(#REF!,#REF!,"2020",#REF!,"ADB",#REF!,'11-20 Appr (ADB and OSF only)'!$A23,#REF!,"TA Cluster")+SUMIFS(#REF!,#REF!,"2020",#REF!,"Special Fund",#REF!,'11-20 Appr (ADB and OSF only)'!$A23)-SUMIFS(#REF!,#REF!,"2020",#REF!,"Special Fund",#REF!,'11-20 Appr (ADB and OSF only)'!$A23,#REF!,"TA")-SUMIFS(#REF!,#REF!,"2020",#REF!,"Special Fund",#REF!,'11-20 Appr (ADB and OSF only)'!$A23,#REF!,"TA Cluster")-SUMIFS(#REF!,#REF!,"2020",#REF!,"Special Fund",#REF!,'11-20 Appr (ADB and OSF only)'!$A23,#REF!,"MFF")-SUMIFS(#REF!,#REF!,"2020",#REF!,"ADB",#REF!,'11-20 Appr (ADB and OSF only)'!$A23,#REF!,"MFF")-SUMIFS(#REF!,#REF!,"2020",#REF!,"Special Fund",#REF!,'11-20 Appr (ADB and OSF only)'!$A23,#REF!,"Investment Facility")-SUMIFS(#REF!,#REF!,"2020",#REF!,"ADB",#REF!,'11-20 Appr (ADB and OSF only)'!$A23,#REF!,"Investment Facility")</f>
        <v>#REF!</v>
      </c>
    </row>
    <row r="24" spans="1:16" ht="15">
      <c r="C24" s="25" t="s">
        <v>198</v>
      </c>
      <c r="D24" s="31">
        <v>149.04999999999998</v>
      </c>
      <c r="E24" s="31">
        <v>294.36</v>
      </c>
      <c r="F24" s="31">
        <v>140.80000000000001</v>
      </c>
      <c r="G24" s="31">
        <v>322.58</v>
      </c>
      <c r="H24" s="38">
        <v>119.35</v>
      </c>
      <c r="I24" s="33">
        <v>437.74999999999994</v>
      </c>
      <c r="J24" s="39">
        <v>162.91</v>
      </c>
      <c r="K24" s="39">
        <v>175.15</v>
      </c>
      <c r="L24" s="39">
        <f>SUM(L25:L39)</f>
        <v>580.60899999999992</v>
      </c>
      <c r="M24" s="39">
        <f>SUM(M25:M39)</f>
        <v>437.30000000000007</v>
      </c>
      <c r="N24" s="39">
        <v>414.42</v>
      </c>
      <c r="O24" s="39" t="e">
        <f>SUM(O25:O39)</f>
        <v>#REF!</v>
      </c>
      <c r="P24" s="39" t="e">
        <f>SUM(P25:P39)</f>
        <v>#REF!</v>
      </c>
    </row>
    <row r="25" spans="1:16" ht="14.25">
      <c r="A25" t="s">
        <v>199</v>
      </c>
      <c r="C25" s="26" t="s">
        <v>20</v>
      </c>
      <c r="D25" s="34">
        <v>15.510000000000002</v>
      </c>
      <c r="E25" s="34">
        <v>10</v>
      </c>
      <c r="F25" s="34">
        <v>0</v>
      </c>
      <c r="G25" s="34">
        <v>5.5</v>
      </c>
      <c r="H25" s="34">
        <v>6</v>
      </c>
      <c r="I25" s="27">
        <v>0</v>
      </c>
      <c r="J25" s="27">
        <v>11.19</v>
      </c>
      <c r="K25" s="27">
        <v>0</v>
      </c>
      <c r="L25" s="27">
        <v>10</v>
      </c>
      <c r="M25" s="27">
        <v>15</v>
      </c>
      <c r="N25" s="27">
        <v>0</v>
      </c>
      <c r="O25" s="35" t="e">
        <f>SUMIFS(#REF!,#REF!,"2019",#REF!,"ADB",#REF!,'11-20 Appr (ADB and OSF only)'!$A25)-SUMIFS(#REF!,#REF!,"2019",#REF!,"ADB",#REF!,'11-20 Appr (ADB and OSF only)'!$A25,#REF!,"TA")-SUMIFS(#REF!,#REF!,"2019",#REF!,"ADB",#REF!,'11-20 Appr (ADB and OSF only)'!$A25,#REF!,"TA Cluster")+SUMIFS(#REF!,#REF!,"2019",#REF!,"Special Fund",#REF!,'11-20 Appr (ADB and OSF only)'!$A25)-SUMIFS(#REF!,#REF!,"2019",#REF!,"Special Fund",#REF!,'11-20 Appr (ADB and OSF only)'!$A25,#REF!,"TA")-SUMIFS(#REF!,#REF!,"2019",#REF!,"Special Fund",#REF!,'11-20 Appr (ADB and OSF only)'!$A25,#REF!,"TA Cluster")-SUMIFS(#REF!,#REF!,"2019",#REF!,"Special Fund",#REF!,'11-20 Appr (ADB and OSF only)'!$A25,#REF!,"MFF")-SUMIFS(#REF!,#REF!,"2019",#REF!,"ADB",#REF!,'11-20 Appr (ADB and OSF only)'!$A25,#REF!,"MFF")-SUMIFS(#REF!,#REF!,"2019",#REF!,"Special Fund",#REF!,'11-20 Appr (ADB and OSF only)'!$A25,#REF!,"Investment Facility")-SUMIFS(#REF!,#REF!,"2019",#REF!,"ADB",#REF!,'11-20 Appr (ADB and OSF only)'!$A25,#REF!,"Investment Facility")</f>
        <v>#REF!</v>
      </c>
      <c r="P25" s="35" t="e">
        <f>SUMIFS(#REF!,#REF!,"2020",#REF!,"ADB",#REF!,'11-20 Appr (ADB and OSF only)'!$A25)-SUMIFS(#REF!,#REF!,"2020",#REF!,"ADB",#REF!,'11-20 Appr (ADB and OSF only)'!$A25,#REF!,"TA")-SUMIFS(#REF!,#REF!,"2020",#REF!,"ADB",#REF!,'11-20 Appr (ADB and OSF only)'!$A25,#REF!,"TA Cluster")+SUMIFS(#REF!,#REF!,"2020",#REF!,"Special Fund",#REF!,'11-20 Appr (ADB and OSF only)'!$A25)-SUMIFS(#REF!,#REF!,"2020",#REF!,"Special Fund",#REF!,'11-20 Appr (ADB and OSF only)'!$A25,#REF!,"TA")-SUMIFS(#REF!,#REF!,"2020",#REF!,"Special Fund",#REF!,'11-20 Appr (ADB and OSF only)'!$A25,#REF!,"TA Cluster")-SUMIFS(#REF!,#REF!,"2020",#REF!,"Special Fund",#REF!,'11-20 Appr (ADB and OSF only)'!$A25,#REF!,"MFF")-SUMIFS(#REF!,#REF!,"2020",#REF!,"ADB",#REF!,'11-20 Appr (ADB and OSF only)'!$A25,#REF!,"MFF")-SUMIFS(#REF!,#REF!,"2020",#REF!,"Special Fund",#REF!,'11-20 Appr (ADB and OSF only)'!$A25,#REF!,"Investment Facility")-SUMIFS(#REF!,#REF!,"2020",#REF!,"ADB",#REF!,'11-20 Appr (ADB and OSF only)'!$A25,#REF!,"Investment Facility")</f>
        <v>#REF!</v>
      </c>
    </row>
    <row r="26" spans="1:16" ht="14.25">
      <c r="A26" t="s">
        <v>200</v>
      </c>
      <c r="C26" s="26" t="s">
        <v>21</v>
      </c>
      <c r="D26" s="34">
        <v>0</v>
      </c>
      <c r="E26" s="34">
        <v>0</v>
      </c>
      <c r="F26" s="34">
        <v>0</v>
      </c>
      <c r="G26" s="34">
        <v>0</v>
      </c>
      <c r="H26" s="34">
        <v>0</v>
      </c>
      <c r="I26" s="27">
        <v>9.0399999999999991</v>
      </c>
      <c r="J26" s="27">
        <v>0</v>
      </c>
      <c r="K26" s="27">
        <v>0</v>
      </c>
      <c r="L26" s="27">
        <v>0</v>
      </c>
      <c r="M26" s="27">
        <v>6.5</v>
      </c>
      <c r="N26" s="27">
        <v>0</v>
      </c>
      <c r="O26" s="35" t="e">
        <f>SUMIFS(#REF!,#REF!,"2019",#REF!,"ADB",#REF!,'11-20 Appr (ADB and OSF only)'!$A26)-SUMIFS(#REF!,#REF!,"2019",#REF!,"ADB",#REF!,'11-20 Appr (ADB and OSF only)'!$A26,#REF!,"TA")-SUMIFS(#REF!,#REF!,"2019",#REF!,"ADB",#REF!,'11-20 Appr (ADB and OSF only)'!$A26,#REF!,"TA Cluster")+SUMIFS(#REF!,#REF!,"2019",#REF!,"Special Fund",#REF!,'11-20 Appr (ADB and OSF only)'!$A26)-SUMIFS(#REF!,#REF!,"2019",#REF!,"Special Fund",#REF!,'11-20 Appr (ADB and OSF only)'!$A26,#REF!,"TA")-SUMIFS(#REF!,#REF!,"2019",#REF!,"Special Fund",#REF!,'11-20 Appr (ADB and OSF only)'!$A26,#REF!,"TA Cluster")-SUMIFS(#REF!,#REF!,"2019",#REF!,"Special Fund",#REF!,'11-20 Appr (ADB and OSF only)'!$A26,#REF!,"MFF")-SUMIFS(#REF!,#REF!,"2019",#REF!,"ADB",#REF!,'11-20 Appr (ADB and OSF only)'!$A26,#REF!,"MFF")-SUMIFS(#REF!,#REF!,"2019",#REF!,"Special Fund",#REF!,'11-20 Appr (ADB and OSF only)'!$A26,#REF!,"Investment Facility")-SUMIFS(#REF!,#REF!,"2019",#REF!,"ADB",#REF!,'11-20 Appr (ADB and OSF only)'!$A26,#REF!,"Investment Facility")</f>
        <v>#REF!</v>
      </c>
      <c r="P26" s="35" t="e">
        <f>SUMIFS(#REF!,#REF!,"2020",#REF!,"ADB",#REF!,'11-20 Appr (ADB and OSF only)'!$A26)-SUMIFS(#REF!,#REF!,"2020",#REF!,"ADB",#REF!,'11-20 Appr (ADB and OSF only)'!$A26,#REF!,"TA")-SUMIFS(#REF!,#REF!,"2020",#REF!,"ADB",#REF!,'11-20 Appr (ADB and OSF only)'!$A26,#REF!,"TA Cluster")+SUMIFS(#REF!,#REF!,"2020",#REF!,"Special Fund",#REF!,'11-20 Appr (ADB and OSF only)'!$A26)-SUMIFS(#REF!,#REF!,"2020",#REF!,"Special Fund",#REF!,'11-20 Appr (ADB and OSF only)'!$A26,#REF!,"TA")-SUMIFS(#REF!,#REF!,"2020",#REF!,"Special Fund",#REF!,'11-20 Appr (ADB and OSF only)'!$A26,#REF!,"TA Cluster")-SUMIFS(#REF!,#REF!,"2020",#REF!,"Special Fund",#REF!,'11-20 Appr (ADB and OSF only)'!$A26,#REF!,"MFF")-SUMIFS(#REF!,#REF!,"2020",#REF!,"ADB",#REF!,'11-20 Appr (ADB and OSF only)'!$A26,#REF!,"MFF")-SUMIFS(#REF!,#REF!,"2020",#REF!,"Special Fund",#REF!,'11-20 Appr (ADB and OSF only)'!$A26,#REF!,"Investment Facility")-SUMIFS(#REF!,#REF!,"2020",#REF!,"ADB",#REF!,'11-20 Appr (ADB and OSF only)'!$A26,#REF!,"Investment Facility")</f>
        <v>#REF!</v>
      </c>
    </row>
    <row r="27" spans="1:16" ht="14.25">
      <c r="A27" t="s">
        <v>201</v>
      </c>
      <c r="C27" s="26" t="s">
        <v>22</v>
      </c>
      <c r="D27" s="34">
        <v>0</v>
      </c>
      <c r="E27" s="34">
        <v>67.36</v>
      </c>
      <c r="F27" s="34">
        <v>0</v>
      </c>
      <c r="G27" s="34">
        <v>0</v>
      </c>
      <c r="H27" s="34">
        <v>2</v>
      </c>
      <c r="I27" s="27">
        <v>0</v>
      </c>
      <c r="J27" s="27">
        <v>100</v>
      </c>
      <c r="K27" s="27">
        <v>0</v>
      </c>
      <c r="L27" s="27">
        <v>94.109000000000009</v>
      </c>
      <c r="M27" s="27">
        <v>0</v>
      </c>
      <c r="N27" s="27">
        <v>14.999999999999998</v>
      </c>
      <c r="O27" s="35" t="e">
        <f>SUMIFS(#REF!,#REF!,"2019",#REF!,"ADB",#REF!,'11-20 Appr (ADB and OSF only)'!$A27)-SUMIFS(#REF!,#REF!,"2019",#REF!,"ADB",#REF!,'11-20 Appr (ADB and OSF only)'!$A27,#REF!,"TA")-SUMIFS(#REF!,#REF!,"2019",#REF!,"ADB",#REF!,'11-20 Appr (ADB and OSF only)'!$A27,#REF!,"TA Cluster")+SUMIFS(#REF!,#REF!,"2019",#REF!,"Special Fund",#REF!,'11-20 Appr (ADB and OSF only)'!$A27)-SUMIFS(#REF!,#REF!,"2019",#REF!,"Special Fund",#REF!,'11-20 Appr (ADB and OSF only)'!$A27,#REF!,"TA")-SUMIFS(#REF!,#REF!,"2019",#REF!,"Special Fund",#REF!,'11-20 Appr (ADB and OSF only)'!$A27,#REF!,"TA Cluster")-SUMIFS(#REF!,#REF!,"2019",#REF!,"Special Fund",#REF!,'11-20 Appr (ADB and OSF only)'!$A27,#REF!,"MFF")-SUMIFS(#REF!,#REF!,"2019",#REF!,"ADB",#REF!,'11-20 Appr (ADB and OSF only)'!$A27,#REF!,"MFF")-SUMIFS(#REF!,#REF!,"2019",#REF!,"Special Fund",#REF!,'11-20 Appr (ADB and OSF only)'!$A27,#REF!,"Investment Facility")-SUMIFS(#REF!,#REF!,"2019",#REF!,"ADB",#REF!,'11-20 Appr (ADB and OSF only)'!$A27,#REF!,"Investment Facility")</f>
        <v>#REF!</v>
      </c>
      <c r="P27" s="35" t="e">
        <f>SUMIFS(#REF!,#REF!,"2020",#REF!,"ADB",#REF!,'11-20 Appr (ADB and OSF only)'!$A27)-SUMIFS(#REF!,#REF!,"2020",#REF!,"ADB",#REF!,'11-20 Appr (ADB and OSF only)'!$A27,#REF!,"TA")-SUMIFS(#REF!,#REF!,"2020",#REF!,"ADB",#REF!,'11-20 Appr (ADB and OSF only)'!$A27,#REF!,"TA Cluster")+SUMIFS(#REF!,#REF!,"2020",#REF!,"Special Fund",#REF!,'11-20 Appr (ADB and OSF only)'!$A27)-SUMIFS(#REF!,#REF!,"2020",#REF!,"Special Fund",#REF!,'11-20 Appr (ADB and OSF only)'!$A27,#REF!,"TA")-SUMIFS(#REF!,#REF!,"2020",#REF!,"Special Fund",#REF!,'11-20 Appr (ADB and OSF only)'!$A27,#REF!,"TA Cluster")-SUMIFS(#REF!,#REF!,"2020",#REF!,"Special Fund",#REF!,'11-20 Appr (ADB and OSF only)'!$A27,#REF!,"MFF")-SUMIFS(#REF!,#REF!,"2020",#REF!,"ADB",#REF!,'11-20 Appr (ADB and OSF only)'!$A27,#REF!,"MFF")-SUMIFS(#REF!,#REF!,"2020",#REF!,"Special Fund",#REF!,'11-20 Appr (ADB and OSF only)'!$A27,#REF!,"Investment Facility")-SUMIFS(#REF!,#REF!,"2020",#REF!,"ADB",#REF!,'11-20 Appr (ADB and OSF only)'!$A27,#REF!,"Investment Facility")</f>
        <v>#REF!</v>
      </c>
    </row>
    <row r="28" spans="1:16" ht="14.25">
      <c r="A28" t="s">
        <v>203</v>
      </c>
      <c r="C28" s="26" t="s">
        <v>29</v>
      </c>
      <c r="D28" s="34">
        <v>0</v>
      </c>
      <c r="E28" s="34">
        <v>0</v>
      </c>
      <c r="F28" s="34">
        <v>12</v>
      </c>
      <c r="G28" s="34">
        <v>7.56</v>
      </c>
      <c r="H28" s="34">
        <v>0</v>
      </c>
      <c r="I28" s="27">
        <v>0</v>
      </c>
      <c r="J28" s="27">
        <v>3</v>
      </c>
      <c r="K28" s="27">
        <v>2.4</v>
      </c>
      <c r="L28" s="27">
        <v>11.8</v>
      </c>
      <c r="M28" s="27">
        <v>7</v>
      </c>
      <c r="N28" s="27">
        <v>24.1</v>
      </c>
      <c r="O28" s="35" t="e">
        <f>SUMIFS(#REF!,#REF!,"2019",#REF!,"ADB",#REF!,'11-20 Appr (ADB and OSF only)'!$A28)-SUMIFS(#REF!,#REF!,"2019",#REF!,"ADB",#REF!,'11-20 Appr (ADB and OSF only)'!$A28,#REF!,"TA")-SUMIFS(#REF!,#REF!,"2019",#REF!,"ADB",#REF!,'11-20 Appr (ADB and OSF only)'!$A28,#REF!,"TA Cluster")+SUMIFS(#REF!,#REF!,"2019",#REF!,"Special Fund",#REF!,'11-20 Appr (ADB and OSF only)'!$A28)-SUMIFS(#REF!,#REF!,"2019",#REF!,"Special Fund",#REF!,'11-20 Appr (ADB and OSF only)'!$A28,#REF!,"TA")-SUMIFS(#REF!,#REF!,"2019",#REF!,"Special Fund",#REF!,'11-20 Appr (ADB and OSF only)'!$A28,#REF!,"TA Cluster")-SUMIFS(#REF!,#REF!,"2019",#REF!,"Special Fund",#REF!,'11-20 Appr (ADB and OSF only)'!$A28,#REF!,"MFF")-SUMIFS(#REF!,#REF!,"2019",#REF!,"ADB",#REF!,'11-20 Appr (ADB and OSF only)'!$A28,#REF!,"MFF")-SUMIFS(#REF!,#REF!,"2019",#REF!,"Special Fund",#REF!,'11-20 Appr (ADB and OSF only)'!$A28,#REF!,"Investment Facility")-SUMIFS(#REF!,#REF!,"2019",#REF!,"ADB",#REF!,'11-20 Appr (ADB and OSF only)'!$A28,#REF!,"Investment Facility")</f>
        <v>#REF!</v>
      </c>
      <c r="P28" s="35" t="e">
        <f>SUMIFS(#REF!,#REF!,"2020",#REF!,"ADB",#REF!,'11-20 Appr (ADB and OSF only)'!$A28)-SUMIFS(#REF!,#REF!,"2020",#REF!,"ADB",#REF!,'11-20 Appr (ADB and OSF only)'!$A28,#REF!,"TA")-SUMIFS(#REF!,#REF!,"2020",#REF!,"ADB",#REF!,'11-20 Appr (ADB and OSF only)'!$A28,#REF!,"TA Cluster")+SUMIFS(#REF!,#REF!,"2020",#REF!,"Special Fund",#REF!,'11-20 Appr (ADB and OSF only)'!$A28)-SUMIFS(#REF!,#REF!,"2020",#REF!,"Special Fund",#REF!,'11-20 Appr (ADB and OSF only)'!$A28,#REF!,"TA")-SUMIFS(#REF!,#REF!,"2020",#REF!,"Special Fund",#REF!,'11-20 Appr (ADB and OSF only)'!$A28,#REF!,"TA Cluster")-SUMIFS(#REF!,#REF!,"2020",#REF!,"Special Fund",#REF!,'11-20 Appr (ADB and OSF only)'!$A28,#REF!,"MFF")-SUMIFS(#REF!,#REF!,"2020",#REF!,"ADB",#REF!,'11-20 Appr (ADB and OSF only)'!$A28,#REF!,"MFF")-SUMIFS(#REF!,#REF!,"2020",#REF!,"Special Fund",#REF!,'11-20 Appr (ADB and OSF only)'!$A28,#REF!,"Investment Facility")-SUMIFS(#REF!,#REF!,"2020",#REF!,"ADB",#REF!,'11-20 Appr (ADB and OSF only)'!$A28,#REF!,"Investment Facility")</f>
        <v>#REF!</v>
      </c>
    </row>
    <row r="29" spans="1:16" ht="14.25">
      <c r="A29" t="s">
        <v>204</v>
      </c>
      <c r="C29" s="26" t="s">
        <v>34</v>
      </c>
      <c r="D29" s="34">
        <v>0</v>
      </c>
      <c r="E29" s="34">
        <v>0</v>
      </c>
      <c r="F29" s="34">
        <v>9.5</v>
      </c>
      <c r="G29" s="34">
        <v>0</v>
      </c>
      <c r="H29" s="34">
        <v>5</v>
      </c>
      <c r="I29" s="27">
        <v>0.30000000000000004</v>
      </c>
      <c r="J29" s="27">
        <v>0</v>
      </c>
      <c r="K29" s="27">
        <v>5</v>
      </c>
      <c r="L29" s="27">
        <v>0.2</v>
      </c>
      <c r="M29" s="27">
        <v>10.5</v>
      </c>
      <c r="N29" s="27">
        <v>12.7</v>
      </c>
      <c r="O29" s="35" t="e">
        <f>SUMIFS(#REF!,#REF!,"2019",#REF!,"ADB",#REF!,'11-20 Appr (ADB and OSF only)'!$A29)-SUMIFS(#REF!,#REF!,"2019",#REF!,"ADB",#REF!,'11-20 Appr (ADB and OSF only)'!$A29,#REF!,"TA")-SUMIFS(#REF!,#REF!,"2019",#REF!,"ADB",#REF!,'11-20 Appr (ADB and OSF only)'!$A29,#REF!,"TA Cluster")+SUMIFS(#REF!,#REF!,"2019",#REF!,"Special Fund",#REF!,'11-20 Appr (ADB and OSF only)'!$A29)-SUMIFS(#REF!,#REF!,"2019",#REF!,"Special Fund",#REF!,'11-20 Appr (ADB and OSF only)'!$A29,#REF!,"TA")-SUMIFS(#REF!,#REF!,"2019",#REF!,"Special Fund",#REF!,'11-20 Appr (ADB and OSF only)'!$A29,#REF!,"TA Cluster")-SUMIFS(#REF!,#REF!,"2019",#REF!,"Special Fund",#REF!,'11-20 Appr (ADB and OSF only)'!$A29,#REF!,"MFF")-SUMIFS(#REF!,#REF!,"2019",#REF!,"ADB",#REF!,'11-20 Appr (ADB and OSF only)'!$A29,#REF!,"MFF")-SUMIFS(#REF!,#REF!,"2019",#REF!,"Special Fund",#REF!,'11-20 Appr (ADB and OSF only)'!$A29,#REF!,"Investment Facility")-SUMIFS(#REF!,#REF!,"2019",#REF!,"ADB",#REF!,'11-20 Appr (ADB and OSF only)'!$A29,#REF!,"Investment Facility")</f>
        <v>#REF!</v>
      </c>
      <c r="P29" s="35" t="e">
        <f>SUMIFS(#REF!,#REF!,"2020",#REF!,"ADB",#REF!,'11-20 Appr (ADB and OSF only)'!$A29)-SUMIFS(#REF!,#REF!,"2020",#REF!,"ADB",#REF!,'11-20 Appr (ADB and OSF only)'!$A29,#REF!,"TA")-SUMIFS(#REF!,#REF!,"2020",#REF!,"ADB",#REF!,'11-20 Appr (ADB and OSF only)'!$A29,#REF!,"TA Cluster")+SUMIFS(#REF!,#REF!,"2020",#REF!,"Special Fund",#REF!,'11-20 Appr (ADB and OSF only)'!$A29)-SUMIFS(#REF!,#REF!,"2020",#REF!,"Special Fund",#REF!,'11-20 Appr (ADB and OSF only)'!$A29,#REF!,"TA")-SUMIFS(#REF!,#REF!,"2020",#REF!,"Special Fund",#REF!,'11-20 Appr (ADB and OSF only)'!$A29,#REF!,"TA Cluster")-SUMIFS(#REF!,#REF!,"2020",#REF!,"Special Fund",#REF!,'11-20 Appr (ADB and OSF only)'!$A29,#REF!,"MFF")-SUMIFS(#REF!,#REF!,"2020",#REF!,"ADB",#REF!,'11-20 Appr (ADB and OSF only)'!$A29,#REF!,"MFF")-SUMIFS(#REF!,#REF!,"2020",#REF!,"Special Fund",#REF!,'11-20 Appr (ADB and OSF only)'!$A29,#REF!,"Investment Facility")-SUMIFS(#REF!,#REF!,"2020",#REF!,"ADB",#REF!,'11-20 Appr (ADB and OSF only)'!$A29,#REF!,"Investment Facility")</f>
        <v>#REF!</v>
      </c>
    </row>
    <row r="30" spans="1:16" ht="14.25">
      <c r="A30" t="s">
        <v>205</v>
      </c>
      <c r="C30" s="26" t="s">
        <v>36</v>
      </c>
      <c r="D30" s="34">
        <v>0</v>
      </c>
      <c r="E30" s="34">
        <v>0</v>
      </c>
      <c r="F30" s="34">
        <v>0</v>
      </c>
      <c r="G30" s="34">
        <v>0</v>
      </c>
      <c r="H30" s="34">
        <v>4</v>
      </c>
      <c r="I30" s="27">
        <v>0</v>
      </c>
      <c r="J30" s="27">
        <v>2</v>
      </c>
      <c r="K30" s="27">
        <v>3</v>
      </c>
      <c r="L30" s="27">
        <v>2</v>
      </c>
      <c r="M30" s="27">
        <v>0</v>
      </c>
      <c r="N30" s="27">
        <v>36.299999999999997</v>
      </c>
      <c r="O30" s="35" t="e">
        <f>SUMIFS(#REF!,#REF!,"2019",#REF!,"ADB",#REF!,'11-20 Appr (ADB and OSF only)'!$A30)-SUMIFS(#REF!,#REF!,"2019",#REF!,"ADB",#REF!,'11-20 Appr (ADB and OSF only)'!$A30,#REF!,"TA")-SUMIFS(#REF!,#REF!,"2019",#REF!,"ADB",#REF!,'11-20 Appr (ADB and OSF only)'!$A30,#REF!,"TA Cluster")+SUMIFS(#REF!,#REF!,"2019",#REF!,"Special Fund",#REF!,'11-20 Appr (ADB and OSF only)'!$A30)-SUMIFS(#REF!,#REF!,"2019",#REF!,"Special Fund",#REF!,'11-20 Appr (ADB and OSF only)'!$A30,#REF!,"TA")-SUMIFS(#REF!,#REF!,"2019",#REF!,"Special Fund",#REF!,'11-20 Appr (ADB and OSF only)'!$A30,#REF!,"TA Cluster")-SUMIFS(#REF!,#REF!,"2019",#REF!,"Special Fund",#REF!,'11-20 Appr (ADB and OSF only)'!$A30,#REF!,"MFF")-SUMIFS(#REF!,#REF!,"2019",#REF!,"ADB",#REF!,'11-20 Appr (ADB and OSF only)'!$A30,#REF!,"MFF")-SUMIFS(#REF!,#REF!,"2019",#REF!,"Special Fund",#REF!,'11-20 Appr (ADB and OSF only)'!$A30,#REF!,"Investment Facility")-SUMIFS(#REF!,#REF!,"2019",#REF!,"ADB",#REF!,'11-20 Appr (ADB and OSF only)'!$A30,#REF!,"Investment Facility")</f>
        <v>#REF!</v>
      </c>
      <c r="P30" s="35" t="e">
        <f>SUMIFS(#REF!,#REF!,"2020",#REF!,"ADB",#REF!,'11-20 Appr (ADB and OSF only)'!$A30)-SUMIFS(#REF!,#REF!,"2020",#REF!,"ADB",#REF!,'11-20 Appr (ADB and OSF only)'!$A30,#REF!,"TA")-SUMIFS(#REF!,#REF!,"2020",#REF!,"ADB",#REF!,'11-20 Appr (ADB and OSF only)'!$A30,#REF!,"TA Cluster")+SUMIFS(#REF!,#REF!,"2020",#REF!,"Special Fund",#REF!,'11-20 Appr (ADB and OSF only)'!$A30)-SUMIFS(#REF!,#REF!,"2020",#REF!,"Special Fund",#REF!,'11-20 Appr (ADB and OSF only)'!$A30,#REF!,"TA")-SUMIFS(#REF!,#REF!,"2020",#REF!,"Special Fund",#REF!,'11-20 Appr (ADB and OSF only)'!$A30,#REF!,"TA Cluster")-SUMIFS(#REF!,#REF!,"2020",#REF!,"Special Fund",#REF!,'11-20 Appr (ADB and OSF only)'!$A30,#REF!,"MFF")-SUMIFS(#REF!,#REF!,"2020",#REF!,"ADB",#REF!,'11-20 Appr (ADB and OSF only)'!$A30,#REF!,"MFF")-SUMIFS(#REF!,#REF!,"2020",#REF!,"Special Fund",#REF!,'11-20 Appr (ADB and OSF only)'!$A30,#REF!,"Investment Facility")-SUMIFS(#REF!,#REF!,"2020",#REF!,"ADB",#REF!,'11-20 Appr (ADB and OSF only)'!$A30,#REF!,"Investment Facility")</f>
        <v>#REF!</v>
      </c>
    </row>
    <row r="31" spans="1:16" ht="14.25">
      <c r="A31" t="s">
        <v>206</v>
      </c>
      <c r="C31" s="26" t="s">
        <v>38</v>
      </c>
      <c r="D31" s="34"/>
      <c r="E31" s="34"/>
      <c r="F31" s="34">
        <v>0</v>
      </c>
      <c r="G31" s="34">
        <v>0</v>
      </c>
      <c r="H31" s="34">
        <v>0</v>
      </c>
      <c r="I31" s="27">
        <v>0</v>
      </c>
      <c r="J31" s="27">
        <v>0</v>
      </c>
      <c r="K31" s="27">
        <v>0</v>
      </c>
      <c r="L31" s="27">
        <v>0</v>
      </c>
      <c r="M31" s="27">
        <v>0</v>
      </c>
      <c r="N31" s="27">
        <v>0</v>
      </c>
      <c r="O31" s="35" t="e">
        <f>SUMIFS(#REF!,#REF!,"2019",#REF!,"ADB",#REF!,'11-20 Appr (ADB and OSF only)'!$A31)-SUMIFS(#REF!,#REF!,"2019",#REF!,"ADB",#REF!,'11-20 Appr (ADB and OSF only)'!$A31,#REF!,"TA")-SUMIFS(#REF!,#REF!,"2019",#REF!,"ADB",#REF!,'11-20 Appr (ADB and OSF only)'!$A31,#REF!,"TA Cluster")+SUMIFS(#REF!,#REF!,"2019",#REF!,"Special Fund",#REF!,'11-20 Appr (ADB and OSF only)'!$A31)-SUMIFS(#REF!,#REF!,"2019",#REF!,"Special Fund",#REF!,'11-20 Appr (ADB and OSF only)'!$A31,#REF!,"TA")-SUMIFS(#REF!,#REF!,"2019",#REF!,"Special Fund",#REF!,'11-20 Appr (ADB and OSF only)'!$A31,#REF!,"TA Cluster")-SUMIFS(#REF!,#REF!,"2019",#REF!,"Special Fund",#REF!,'11-20 Appr (ADB and OSF only)'!$A31,#REF!,"MFF")-SUMIFS(#REF!,#REF!,"2019",#REF!,"ADB",#REF!,'11-20 Appr (ADB and OSF only)'!$A31,#REF!,"MFF")-SUMIFS(#REF!,#REF!,"2019",#REF!,"Special Fund",#REF!,'11-20 Appr (ADB and OSF only)'!$A31,#REF!,"Investment Facility")-SUMIFS(#REF!,#REF!,"2019",#REF!,"ADB",#REF!,'11-20 Appr (ADB and OSF only)'!$A31,#REF!,"Investment Facility")</f>
        <v>#REF!</v>
      </c>
      <c r="P31" s="35" t="e">
        <f>SUMIFS(#REF!,#REF!,"2020",#REF!,"ADB",#REF!,'11-20 Appr (ADB and OSF only)'!$A31)-SUMIFS(#REF!,#REF!,"2020",#REF!,"ADB",#REF!,'11-20 Appr (ADB and OSF only)'!$A31,#REF!,"TA")-SUMIFS(#REF!,#REF!,"2020",#REF!,"ADB",#REF!,'11-20 Appr (ADB and OSF only)'!$A31,#REF!,"TA Cluster")+SUMIFS(#REF!,#REF!,"2020",#REF!,"Special Fund",#REF!,'11-20 Appr (ADB and OSF only)'!$A31)-SUMIFS(#REF!,#REF!,"2020",#REF!,"Special Fund",#REF!,'11-20 Appr (ADB and OSF only)'!$A31,#REF!,"TA")-SUMIFS(#REF!,#REF!,"2020",#REF!,"Special Fund",#REF!,'11-20 Appr (ADB and OSF only)'!$A31,#REF!,"TA Cluster")-SUMIFS(#REF!,#REF!,"2020",#REF!,"Special Fund",#REF!,'11-20 Appr (ADB and OSF only)'!$A31,#REF!,"MFF")-SUMIFS(#REF!,#REF!,"2020",#REF!,"ADB",#REF!,'11-20 Appr (ADB and OSF only)'!$A31,#REF!,"MFF")-SUMIFS(#REF!,#REF!,"2020",#REF!,"Special Fund",#REF!,'11-20 Appr (ADB and OSF only)'!$A31,#REF!,"Investment Facility")-SUMIFS(#REF!,#REF!,"2020",#REF!,"ADB",#REF!,'11-20 Appr (ADB and OSF only)'!$A31,#REF!,"Investment Facility")</f>
        <v>#REF!</v>
      </c>
    </row>
    <row r="32" spans="1:16" ht="14.25">
      <c r="A32" t="s">
        <v>207</v>
      </c>
      <c r="C32" s="26" t="s">
        <v>41</v>
      </c>
      <c r="D32" s="34">
        <v>0</v>
      </c>
      <c r="E32" s="34">
        <v>0</v>
      </c>
      <c r="F32" s="34">
        <v>16</v>
      </c>
      <c r="G32" s="34">
        <v>0</v>
      </c>
      <c r="H32" s="34">
        <v>0</v>
      </c>
      <c r="I32" s="27">
        <v>28.999999999999996</v>
      </c>
      <c r="J32" s="27">
        <v>0</v>
      </c>
      <c r="K32" s="27">
        <v>25</v>
      </c>
      <c r="L32" s="27">
        <v>0</v>
      </c>
      <c r="M32" s="27">
        <v>0</v>
      </c>
      <c r="N32" s="27">
        <v>15</v>
      </c>
      <c r="O32" s="35" t="e">
        <f>SUMIFS(#REF!,#REF!,"2019",#REF!,"ADB",#REF!,'11-20 Appr (ADB and OSF only)'!$A32)-SUMIFS(#REF!,#REF!,"2019",#REF!,"ADB",#REF!,'11-20 Appr (ADB and OSF only)'!$A32,#REF!,"TA")-SUMIFS(#REF!,#REF!,"2019",#REF!,"ADB",#REF!,'11-20 Appr (ADB and OSF only)'!$A32,#REF!,"TA Cluster")+SUMIFS(#REF!,#REF!,"2019",#REF!,"Special Fund",#REF!,'11-20 Appr (ADB and OSF only)'!$A32)-SUMIFS(#REF!,#REF!,"2019",#REF!,"Special Fund",#REF!,'11-20 Appr (ADB and OSF only)'!$A32,#REF!,"TA")-SUMIFS(#REF!,#REF!,"2019",#REF!,"Special Fund",#REF!,'11-20 Appr (ADB and OSF only)'!$A32,#REF!,"TA Cluster")-SUMIFS(#REF!,#REF!,"2019",#REF!,"Special Fund",#REF!,'11-20 Appr (ADB and OSF only)'!$A32,#REF!,"MFF")-SUMIFS(#REF!,#REF!,"2019",#REF!,"ADB",#REF!,'11-20 Appr (ADB and OSF only)'!$A32,#REF!,"MFF")-SUMIFS(#REF!,#REF!,"2019",#REF!,"Special Fund",#REF!,'11-20 Appr (ADB and OSF only)'!$A32,#REF!,"Investment Facility")-SUMIFS(#REF!,#REF!,"2019",#REF!,"ADB",#REF!,'11-20 Appr (ADB and OSF only)'!$A32,#REF!,"Investment Facility")</f>
        <v>#REF!</v>
      </c>
      <c r="P32" s="35" t="e">
        <f>SUMIFS(#REF!,#REF!,"2020",#REF!,"ADB",#REF!,'11-20 Appr (ADB and OSF only)'!$A32)-SUMIFS(#REF!,#REF!,"2020",#REF!,"ADB",#REF!,'11-20 Appr (ADB and OSF only)'!$A32,#REF!,"TA")-SUMIFS(#REF!,#REF!,"2020",#REF!,"ADB",#REF!,'11-20 Appr (ADB and OSF only)'!$A32,#REF!,"TA Cluster")+SUMIFS(#REF!,#REF!,"2020",#REF!,"Special Fund",#REF!,'11-20 Appr (ADB and OSF only)'!$A32)-SUMIFS(#REF!,#REF!,"2020",#REF!,"Special Fund",#REF!,'11-20 Appr (ADB and OSF only)'!$A32,#REF!,"TA")-SUMIFS(#REF!,#REF!,"2020",#REF!,"Special Fund",#REF!,'11-20 Appr (ADB and OSF only)'!$A32,#REF!,"TA Cluster")-SUMIFS(#REF!,#REF!,"2020",#REF!,"Special Fund",#REF!,'11-20 Appr (ADB and OSF only)'!$A32,#REF!,"MFF")-SUMIFS(#REF!,#REF!,"2020",#REF!,"ADB",#REF!,'11-20 Appr (ADB and OSF only)'!$A32,#REF!,"MFF")-SUMIFS(#REF!,#REF!,"2020",#REF!,"Special Fund",#REF!,'11-20 Appr (ADB and OSF only)'!$A32,#REF!,"Investment Facility")-SUMIFS(#REF!,#REF!,"2020",#REF!,"ADB",#REF!,'11-20 Appr (ADB and OSF only)'!$A32,#REF!,"Investment Facility")</f>
        <v>#REF!</v>
      </c>
    </row>
    <row r="33" spans="1:16" ht="14.25">
      <c r="A33" t="s">
        <v>208</v>
      </c>
      <c r="C33" s="26" t="s">
        <v>42</v>
      </c>
      <c r="D33" s="34">
        <v>100</v>
      </c>
      <c r="E33" s="34">
        <v>145</v>
      </c>
      <c r="F33" s="34">
        <v>70.3</v>
      </c>
      <c r="G33" s="34">
        <v>239.12</v>
      </c>
      <c r="H33" s="34">
        <v>41.5</v>
      </c>
      <c r="I33" s="27">
        <v>305.7</v>
      </c>
      <c r="J33" s="27">
        <v>0</v>
      </c>
      <c r="K33" s="27">
        <v>0</v>
      </c>
      <c r="L33" s="27">
        <v>357.31</v>
      </c>
      <c r="M33" s="27">
        <v>362.90000000000009</v>
      </c>
      <c r="N33" s="27">
        <v>196</v>
      </c>
      <c r="O33" s="35" t="e">
        <f>SUMIFS(#REF!,#REF!,"2019",#REF!,"ADB",#REF!,'11-20 Appr (ADB and OSF only)'!$A33)-SUMIFS(#REF!,#REF!,"2019",#REF!,"ADB",#REF!,'11-20 Appr (ADB and OSF only)'!$A33,#REF!,"TA")-SUMIFS(#REF!,#REF!,"2019",#REF!,"ADB",#REF!,'11-20 Appr (ADB and OSF only)'!$A33,#REF!,"TA Cluster")+SUMIFS(#REF!,#REF!,"2019",#REF!,"Special Fund",#REF!,'11-20 Appr (ADB and OSF only)'!$A33)-SUMIFS(#REF!,#REF!,"2019",#REF!,"Special Fund",#REF!,'11-20 Appr (ADB and OSF only)'!$A33,#REF!,"TA")-SUMIFS(#REF!,#REF!,"2019",#REF!,"Special Fund",#REF!,'11-20 Appr (ADB and OSF only)'!$A33,#REF!,"TA Cluster")-SUMIFS(#REF!,#REF!,"2019",#REF!,"Special Fund",#REF!,'11-20 Appr (ADB and OSF only)'!$A33,#REF!,"MFF")-SUMIFS(#REF!,#REF!,"2019",#REF!,"ADB",#REF!,'11-20 Appr (ADB and OSF only)'!$A33,#REF!,"MFF")-SUMIFS(#REF!,#REF!,"2019",#REF!,"Special Fund",#REF!,'11-20 Appr (ADB and OSF only)'!$A33,#REF!,"Investment Facility")-SUMIFS(#REF!,#REF!,"2019",#REF!,"ADB",#REF!,'11-20 Appr (ADB and OSF only)'!$A33,#REF!,"Investment Facility")</f>
        <v>#REF!</v>
      </c>
      <c r="P33" s="35" t="e">
        <f>SUMIFS(#REF!,#REF!,"2020",#REF!,"ADB",#REF!,'11-20 Appr (ADB and OSF only)'!$A33)-SUMIFS(#REF!,#REF!,"2020",#REF!,"ADB",#REF!,'11-20 Appr (ADB and OSF only)'!$A33,#REF!,"TA")-SUMIFS(#REF!,#REF!,"2020",#REF!,"ADB",#REF!,'11-20 Appr (ADB and OSF only)'!$A33,#REF!,"TA Cluster")+SUMIFS(#REF!,#REF!,"2020",#REF!,"Special Fund",#REF!,'11-20 Appr (ADB and OSF only)'!$A33)-SUMIFS(#REF!,#REF!,"2020",#REF!,"Special Fund",#REF!,'11-20 Appr (ADB and OSF only)'!$A33,#REF!,"TA")-SUMIFS(#REF!,#REF!,"2020",#REF!,"Special Fund",#REF!,'11-20 Appr (ADB and OSF only)'!$A33,#REF!,"TA Cluster")-SUMIFS(#REF!,#REF!,"2020",#REF!,"Special Fund",#REF!,'11-20 Appr (ADB and OSF only)'!$A33,#REF!,"MFF")-SUMIFS(#REF!,#REF!,"2020",#REF!,"ADB",#REF!,'11-20 Appr (ADB and OSF only)'!$A33,#REF!,"MFF")-SUMIFS(#REF!,#REF!,"2020",#REF!,"Special Fund",#REF!,'11-20 Appr (ADB and OSF only)'!$A33,#REF!,"Investment Facility")-SUMIFS(#REF!,#REF!,"2020",#REF!,"ADB",#REF!,'11-20 Appr (ADB and OSF only)'!$A33,#REF!,"Investment Facility")</f>
        <v>#REF!</v>
      </c>
    </row>
    <row r="34" spans="1:16" ht="14.25">
      <c r="A34" t="s">
        <v>209</v>
      </c>
      <c r="C34" s="26" t="s">
        <v>44</v>
      </c>
      <c r="D34" s="34">
        <v>5</v>
      </c>
      <c r="E34" s="34">
        <v>1</v>
      </c>
      <c r="F34" s="34">
        <v>16</v>
      </c>
      <c r="G34" s="34">
        <v>10.82</v>
      </c>
      <c r="H34" s="34">
        <v>0.5</v>
      </c>
      <c r="I34" s="27">
        <v>32.21</v>
      </c>
      <c r="J34" s="27">
        <v>5</v>
      </c>
      <c r="K34" s="27">
        <v>25</v>
      </c>
      <c r="L34" s="27">
        <v>5</v>
      </c>
      <c r="M34" s="27">
        <v>8</v>
      </c>
      <c r="N34" s="27">
        <v>10.5</v>
      </c>
      <c r="O34" s="35" t="e">
        <f>SUMIFS(#REF!,#REF!,"2019",#REF!,"ADB",#REF!,'11-20 Appr (ADB and OSF only)'!$A34)-SUMIFS(#REF!,#REF!,"2019",#REF!,"ADB",#REF!,'11-20 Appr (ADB and OSF only)'!$A34,#REF!,"TA")-SUMIFS(#REF!,#REF!,"2019",#REF!,"ADB",#REF!,'11-20 Appr (ADB and OSF only)'!$A34,#REF!,"TA Cluster")+SUMIFS(#REF!,#REF!,"2019",#REF!,"Special Fund",#REF!,'11-20 Appr (ADB and OSF only)'!$A34)-SUMIFS(#REF!,#REF!,"2019",#REF!,"Special Fund",#REF!,'11-20 Appr (ADB and OSF only)'!$A34,#REF!,"TA")-SUMIFS(#REF!,#REF!,"2019",#REF!,"Special Fund",#REF!,'11-20 Appr (ADB and OSF only)'!$A34,#REF!,"TA Cluster")-SUMIFS(#REF!,#REF!,"2019",#REF!,"Special Fund",#REF!,'11-20 Appr (ADB and OSF only)'!$A34,#REF!,"MFF")-SUMIFS(#REF!,#REF!,"2019",#REF!,"ADB",#REF!,'11-20 Appr (ADB and OSF only)'!$A34,#REF!,"MFF")-SUMIFS(#REF!,#REF!,"2019",#REF!,"Special Fund",#REF!,'11-20 Appr (ADB and OSF only)'!$A34,#REF!,"Investment Facility")-SUMIFS(#REF!,#REF!,"2019",#REF!,"ADB",#REF!,'11-20 Appr (ADB and OSF only)'!$A34,#REF!,"Investment Facility")</f>
        <v>#REF!</v>
      </c>
      <c r="P34" s="35" t="e">
        <f>SUMIFS(#REF!,#REF!,"2020",#REF!,"ADB",#REF!,'11-20 Appr (ADB and OSF only)'!$A34)-SUMIFS(#REF!,#REF!,"2020",#REF!,"ADB",#REF!,'11-20 Appr (ADB and OSF only)'!$A34,#REF!,"TA")-SUMIFS(#REF!,#REF!,"2020",#REF!,"ADB",#REF!,'11-20 Appr (ADB and OSF only)'!$A34,#REF!,"TA Cluster")+SUMIFS(#REF!,#REF!,"2020",#REF!,"Special Fund",#REF!,'11-20 Appr (ADB and OSF only)'!$A34)-SUMIFS(#REF!,#REF!,"2020",#REF!,"Special Fund",#REF!,'11-20 Appr (ADB and OSF only)'!$A34,#REF!,"TA")-SUMIFS(#REF!,#REF!,"2020",#REF!,"Special Fund",#REF!,'11-20 Appr (ADB and OSF only)'!$A34,#REF!,"TA Cluster")-SUMIFS(#REF!,#REF!,"2020",#REF!,"Special Fund",#REF!,'11-20 Appr (ADB and OSF only)'!$A34,#REF!,"MFF")-SUMIFS(#REF!,#REF!,"2020",#REF!,"ADB",#REF!,'11-20 Appr (ADB and OSF only)'!$A34,#REF!,"MFF")-SUMIFS(#REF!,#REF!,"2020",#REF!,"Special Fund",#REF!,'11-20 Appr (ADB and OSF only)'!$A34,#REF!,"Investment Facility")-SUMIFS(#REF!,#REF!,"2020",#REF!,"ADB",#REF!,'11-20 Appr (ADB and OSF only)'!$A34,#REF!,"Investment Facility")</f>
        <v>#REF!</v>
      </c>
    </row>
    <row r="35" spans="1:16" ht="14.25">
      <c r="A35" t="s">
        <v>210</v>
      </c>
      <c r="C35" s="26" t="s">
        <v>45</v>
      </c>
      <c r="D35" s="34">
        <v>14</v>
      </c>
      <c r="E35" s="34">
        <v>15</v>
      </c>
      <c r="F35" s="34">
        <v>17</v>
      </c>
      <c r="G35" s="34">
        <v>5</v>
      </c>
      <c r="H35" s="34">
        <v>18</v>
      </c>
      <c r="I35" s="27">
        <v>5</v>
      </c>
      <c r="J35" s="27">
        <v>25.419999999999998</v>
      </c>
      <c r="K35" s="27">
        <v>0</v>
      </c>
      <c r="L35" s="27">
        <v>28.240000000000002</v>
      </c>
      <c r="M35" s="27">
        <v>0</v>
      </c>
      <c r="N35" s="27">
        <v>14</v>
      </c>
      <c r="O35" s="35" t="e">
        <f>SUMIFS(#REF!,#REF!,"2019",#REF!,"ADB",#REF!,'11-20 Appr (ADB and OSF only)'!$A35)-SUMIFS(#REF!,#REF!,"2019",#REF!,"ADB",#REF!,'11-20 Appr (ADB and OSF only)'!$A35,#REF!,"TA")-SUMIFS(#REF!,#REF!,"2019",#REF!,"ADB",#REF!,'11-20 Appr (ADB and OSF only)'!$A35,#REF!,"TA Cluster")+SUMIFS(#REF!,#REF!,"2019",#REF!,"Special Fund",#REF!,'11-20 Appr (ADB and OSF only)'!$A35)-SUMIFS(#REF!,#REF!,"2019",#REF!,"Special Fund",#REF!,'11-20 Appr (ADB and OSF only)'!$A35,#REF!,"TA")-SUMIFS(#REF!,#REF!,"2019",#REF!,"Special Fund",#REF!,'11-20 Appr (ADB and OSF only)'!$A35,#REF!,"TA Cluster")-SUMIFS(#REF!,#REF!,"2019",#REF!,"Special Fund",#REF!,'11-20 Appr (ADB and OSF only)'!$A35,#REF!,"MFF")-SUMIFS(#REF!,#REF!,"2019",#REF!,"ADB",#REF!,'11-20 Appr (ADB and OSF only)'!$A35,#REF!,"MFF")-SUMIFS(#REF!,#REF!,"2019",#REF!,"Special Fund",#REF!,'11-20 Appr (ADB and OSF only)'!$A35,#REF!,"Investment Facility")-SUMIFS(#REF!,#REF!,"2019",#REF!,"ADB",#REF!,'11-20 Appr (ADB and OSF only)'!$A35,#REF!,"Investment Facility")</f>
        <v>#REF!</v>
      </c>
      <c r="P35" s="35" t="e">
        <f>SUMIFS(#REF!,#REF!,"2020",#REF!,"ADB",#REF!,'11-20 Appr (ADB and OSF only)'!$A35)-SUMIFS(#REF!,#REF!,"2020",#REF!,"ADB",#REF!,'11-20 Appr (ADB and OSF only)'!$A35,#REF!,"TA")-SUMIFS(#REF!,#REF!,"2020",#REF!,"ADB",#REF!,'11-20 Appr (ADB and OSF only)'!$A35,#REF!,"TA Cluster")+SUMIFS(#REF!,#REF!,"2020",#REF!,"Special Fund",#REF!,'11-20 Appr (ADB and OSF only)'!$A35)-SUMIFS(#REF!,#REF!,"2020",#REF!,"Special Fund",#REF!,'11-20 Appr (ADB and OSF only)'!$A35,#REF!,"TA")-SUMIFS(#REF!,#REF!,"2020",#REF!,"Special Fund",#REF!,'11-20 Appr (ADB and OSF only)'!$A35,#REF!,"TA Cluster")-SUMIFS(#REF!,#REF!,"2020",#REF!,"Special Fund",#REF!,'11-20 Appr (ADB and OSF only)'!$A35,#REF!,"MFF")-SUMIFS(#REF!,#REF!,"2020",#REF!,"ADB",#REF!,'11-20 Appr (ADB and OSF only)'!$A35,#REF!,"MFF")-SUMIFS(#REF!,#REF!,"2020",#REF!,"Special Fund",#REF!,'11-20 Appr (ADB and OSF only)'!$A35,#REF!,"Investment Facility")-SUMIFS(#REF!,#REF!,"2020",#REF!,"ADB",#REF!,'11-20 Appr (ADB and OSF only)'!$A35,#REF!,"Investment Facility")</f>
        <v>#REF!</v>
      </c>
    </row>
    <row r="36" spans="1:16" ht="16.5">
      <c r="A36" t="s">
        <v>211</v>
      </c>
      <c r="C36" s="9" t="s">
        <v>212</v>
      </c>
      <c r="D36" s="34">
        <v>0</v>
      </c>
      <c r="E36" s="34">
        <v>46</v>
      </c>
      <c r="F36" s="34">
        <v>0</v>
      </c>
      <c r="G36" s="34">
        <v>23</v>
      </c>
      <c r="H36" s="34">
        <v>40</v>
      </c>
      <c r="I36" s="27">
        <v>50</v>
      </c>
      <c r="J36" s="27">
        <v>11.78</v>
      </c>
      <c r="K36" s="27">
        <v>76.22</v>
      </c>
      <c r="L36" s="27">
        <v>49.65</v>
      </c>
      <c r="M36" s="27">
        <v>0</v>
      </c>
      <c r="N36" s="27">
        <v>44</v>
      </c>
      <c r="O36" s="35" t="e">
        <f>SUMIFS(#REF!,#REF!,"2019",#REF!,"ADB",#REF!,'11-20 Appr (ADB and OSF only)'!$A36)-SUMIFS(#REF!,#REF!,"2019",#REF!,"ADB",#REF!,'11-20 Appr (ADB and OSF only)'!$A36,#REF!,"TA")-SUMIFS(#REF!,#REF!,"2019",#REF!,"ADB",#REF!,'11-20 Appr (ADB and OSF only)'!$A36,#REF!,"TA Cluster")+SUMIFS(#REF!,#REF!,"2019",#REF!,"Special Fund",#REF!,'11-20 Appr (ADB and OSF only)'!$A36)-SUMIFS(#REF!,#REF!,"2019",#REF!,"Special Fund",#REF!,'11-20 Appr (ADB and OSF only)'!$A36,#REF!,"TA")-SUMIFS(#REF!,#REF!,"2019",#REF!,"Special Fund",#REF!,'11-20 Appr (ADB and OSF only)'!$A36,#REF!,"TA Cluster")-SUMIFS(#REF!,#REF!,"2019",#REF!,"Special Fund",#REF!,'11-20 Appr (ADB and OSF only)'!$A36,#REF!,"MFF")-SUMIFS(#REF!,#REF!,"2019",#REF!,"ADB",#REF!,'11-20 Appr (ADB and OSF only)'!$A36,#REF!,"MFF")-SUMIFS(#REF!,#REF!,"2019",#REF!,"Special Fund",#REF!,'11-20 Appr (ADB and OSF only)'!$A36,#REF!,"Investment Facility")-SUMIFS(#REF!,#REF!,"2019",#REF!,"ADB",#REF!,'11-20 Appr (ADB and OSF only)'!$A36,#REF!,"Investment Facility")</f>
        <v>#REF!</v>
      </c>
      <c r="P36" s="35" t="e">
        <f>SUMIFS(#REF!,#REF!,"2020",#REF!,"ADB",#REF!,'11-20 Appr (ADB and OSF only)'!$A36)-SUMIFS(#REF!,#REF!,"2020",#REF!,"ADB",#REF!,'11-20 Appr (ADB and OSF only)'!$A36,#REF!,"TA")-SUMIFS(#REF!,#REF!,"2020",#REF!,"ADB",#REF!,'11-20 Appr (ADB and OSF only)'!$A36,#REF!,"TA Cluster")+SUMIFS(#REF!,#REF!,"2020",#REF!,"Special Fund",#REF!,'11-20 Appr (ADB and OSF only)'!$A36)-SUMIFS(#REF!,#REF!,"2020",#REF!,"Special Fund",#REF!,'11-20 Appr (ADB and OSF only)'!$A36,#REF!,"TA")-SUMIFS(#REF!,#REF!,"2020",#REF!,"Special Fund",#REF!,'11-20 Appr (ADB and OSF only)'!$A36,#REF!,"TA Cluster")-SUMIFS(#REF!,#REF!,"2020",#REF!,"Special Fund",#REF!,'11-20 Appr (ADB and OSF only)'!$A36,#REF!,"MFF")-SUMIFS(#REF!,#REF!,"2020",#REF!,"ADB",#REF!,'11-20 Appr (ADB and OSF only)'!$A36,#REF!,"MFF")-SUMIFS(#REF!,#REF!,"2020",#REF!,"Special Fund",#REF!,'11-20 Appr (ADB and OSF only)'!$A36,#REF!,"Investment Facility")-SUMIFS(#REF!,#REF!,"2020",#REF!,"ADB",#REF!,'11-20 Appr (ADB and OSF only)'!$A36,#REF!,"Investment Facility")</f>
        <v>#REF!</v>
      </c>
    </row>
    <row r="37" spans="1:16" ht="14.25">
      <c r="A37" t="s">
        <v>214</v>
      </c>
      <c r="C37" s="26" t="s">
        <v>50</v>
      </c>
      <c r="D37" s="34">
        <v>11.3</v>
      </c>
      <c r="E37" s="34">
        <v>10</v>
      </c>
      <c r="F37" s="34">
        <v>0</v>
      </c>
      <c r="G37" s="34">
        <v>15.759999999999998</v>
      </c>
      <c r="H37" s="34">
        <v>0</v>
      </c>
      <c r="I37" s="27">
        <v>6.5</v>
      </c>
      <c r="J37" s="27">
        <v>4.5199999999999996</v>
      </c>
      <c r="K37" s="27">
        <v>1.44</v>
      </c>
      <c r="L37" s="27">
        <v>11</v>
      </c>
      <c r="M37" s="27">
        <v>10.999999999999998</v>
      </c>
      <c r="N37" s="27">
        <v>17.150000000000002</v>
      </c>
      <c r="O37" s="35" t="e">
        <f>SUMIFS(#REF!,#REF!,"2019",#REF!,"ADB",#REF!,'11-20 Appr (ADB and OSF only)'!$A37)-SUMIFS(#REF!,#REF!,"2019",#REF!,"ADB",#REF!,'11-20 Appr (ADB and OSF only)'!$A37,#REF!,"TA")-SUMIFS(#REF!,#REF!,"2019",#REF!,"ADB",#REF!,'11-20 Appr (ADB and OSF only)'!$A37,#REF!,"TA Cluster")+SUMIFS(#REF!,#REF!,"2019",#REF!,"Special Fund",#REF!,'11-20 Appr (ADB and OSF only)'!$A37)-SUMIFS(#REF!,#REF!,"2019",#REF!,"Special Fund",#REF!,'11-20 Appr (ADB and OSF only)'!$A37,#REF!,"TA")-SUMIFS(#REF!,#REF!,"2019",#REF!,"Special Fund",#REF!,'11-20 Appr (ADB and OSF only)'!$A37,#REF!,"TA Cluster")-SUMIFS(#REF!,#REF!,"2019",#REF!,"Special Fund",#REF!,'11-20 Appr (ADB and OSF only)'!$A37,#REF!,"MFF")-SUMIFS(#REF!,#REF!,"2019",#REF!,"ADB",#REF!,'11-20 Appr (ADB and OSF only)'!$A37,#REF!,"MFF")-SUMIFS(#REF!,#REF!,"2019",#REF!,"Special Fund",#REF!,'11-20 Appr (ADB and OSF only)'!$A37,#REF!,"Investment Facility")-SUMIFS(#REF!,#REF!,"2019",#REF!,"ADB",#REF!,'11-20 Appr (ADB and OSF only)'!$A37,#REF!,"Investment Facility")</f>
        <v>#REF!</v>
      </c>
      <c r="P37" s="35" t="e">
        <f>SUMIFS(#REF!,#REF!,"2020",#REF!,"ADB",#REF!,'11-20 Appr (ADB and OSF only)'!$A37)-SUMIFS(#REF!,#REF!,"2020",#REF!,"ADB",#REF!,'11-20 Appr (ADB and OSF only)'!$A37,#REF!,"TA")-SUMIFS(#REF!,#REF!,"2020",#REF!,"ADB",#REF!,'11-20 Appr (ADB and OSF only)'!$A37,#REF!,"TA Cluster")+SUMIFS(#REF!,#REF!,"2020",#REF!,"Special Fund",#REF!,'11-20 Appr (ADB and OSF only)'!$A37)-SUMIFS(#REF!,#REF!,"2020",#REF!,"Special Fund",#REF!,'11-20 Appr (ADB and OSF only)'!$A37,#REF!,"TA")-SUMIFS(#REF!,#REF!,"2020",#REF!,"Special Fund",#REF!,'11-20 Appr (ADB and OSF only)'!$A37,#REF!,"TA Cluster")-SUMIFS(#REF!,#REF!,"2020",#REF!,"Special Fund",#REF!,'11-20 Appr (ADB and OSF only)'!$A37,#REF!,"MFF")-SUMIFS(#REF!,#REF!,"2020",#REF!,"ADB",#REF!,'11-20 Appr (ADB and OSF only)'!$A37,#REF!,"MFF")-SUMIFS(#REF!,#REF!,"2020",#REF!,"Special Fund",#REF!,'11-20 Appr (ADB and OSF only)'!$A37,#REF!,"Investment Facility")-SUMIFS(#REF!,#REF!,"2020",#REF!,"ADB",#REF!,'11-20 Appr (ADB and OSF only)'!$A37,#REF!,"Investment Facility")</f>
        <v>#REF!</v>
      </c>
    </row>
    <row r="38" spans="1:16" ht="14.25">
      <c r="A38" t="s">
        <v>215</v>
      </c>
      <c r="C38" s="26" t="s">
        <v>52</v>
      </c>
      <c r="D38" s="34">
        <v>3.24</v>
      </c>
      <c r="E38" s="34">
        <v>0</v>
      </c>
      <c r="F38" s="34">
        <v>0</v>
      </c>
      <c r="G38" s="34">
        <v>0</v>
      </c>
      <c r="H38" s="34">
        <v>2.35</v>
      </c>
      <c r="I38" s="27">
        <v>0</v>
      </c>
      <c r="J38" s="27">
        <v>0</v>
      </c>
      <c r="K38" s="27">
        <v>3.9999999999999996</v>
      </c>
      <c r="L38" s="27">
        <v>11.3</v>
      </c>
      <c r="M38" s="27">
        <v>3</v>
      </c>
      <c r="N38" s="27">
        <v>17.920000000000002</v>
      </c>
      <c r="O38" s="35" t="e">
        <f>SUMIFS(#REF!,#REF!,"2019",#REF!,"ADB",#REF!,'11-20 Appr (ADB and OSF only)'!$A38)-SUMIFS(#REF!,#REF!,"2019",#REF!,"ADB",#REF!,'11-20 Appr (ADB and OSF only)'!$A38,#REF!,"TA")-SUMIFS(#REF!,#REF!,"2019",#REF!,"ADB",#REF!,'11-20 Appr (ADB and OSF only)'!$A38,#REF!,"TA Cluster")+SUMIFS(#REF!,#REF!,"2019",#REF!,"Special Fund",#REF!,'11-20 Appr (ADB and OSF only)'!$A38)-SUMIFS(#REF!,#REF!,"2019",#REF!,"Special Fund",#REF!,'11-20 Appr (ADB and OSF only)'!$A38,#REF!,"TA")-SUMIFS(#REF!,#REF!,"2019",#REF!,"Special Fund",#REF!,'11-20 Appr (ADB and OSF only)'!$A38,#REF!,"TA Cluster")-SUMIFS(#REF!,#REF!,"2019",#REF!,"Special Fund",#REF!,'11-20 Appr (ADB and OSF only)'!$A38,#REF!,"MFF")-SUMIFS(#REF!,#REF!,"2019",#REF!,"ADB",#REF!,'11-20 Appr (ADB and OSF only)'!$A38,#REF!,"MFF")-SUMIFS(#REF!,#REF!,"2019",#REF!,"Special Fund",#REF!,'11-20 Appr (ADB and OSF only)'!$A38,#REF!,"Investment Facility")-SUMIFS(#REF!,#REF!,"2019",#REF!,"ADB",#REF!,'11-20 Appr (ADB and OSF only)'!$A38,#REF!,"Investment Facility")</f>
        <v>#REF!</v>
      </c>
      <c r="P38" s="35" t="e">
        <f>SUMIFS(#REF!,#REF!,"2020",#REF!,"ADB",#REF!,'11-20 Appr (ADB and OSF only)'!$A38)-SUMIFS(#REF!,#REF!,"2020",#REF!,"ADB",#REF!,'11-20 Appr (ADB and OSF only)'!$A38,#REF!,"TA")-SUMIFS(#REF!,#REF!,"2020",#REF!,"ADB",#REF!,'11-20 Appr (ADB and OSF only)'!$A38,#REF!,"TA Cluster")+SUMIFS(#REF!,#REF!,"2020",#REF!,"Special Fund",#REF!,'11-20 Appr (ADB and OSF only)'!$A38)-SUMIFS(#REF!,#REF!,"2020",#REF!,"Special Fund",#REF!,'11-20 Appr (ADB and OSF only)'!$A38,#REF!,"TA")-SUMIFS(#REF!,#REF!,"2020",#REF!,"Special Fund",#REF!,'11-20 Appr (ADB and OSF only)'!$A38,#REF!,"TA Cluster")-SUMIFS(#REF!,#REF!,"2020",#REF!,"Special Fund",#REF!,'11-20 Appr (ADB and OSF only)'!$A38,#REF!,"MFF")-SUMIFS(#REF!,#REF!,"2020",#REF!,"ADB",#REF!,'11-20 Appr (ADB and OSF only)'!$A38,#REF!,"MFF")-SUMIFS(#REF!,#REF!,"2020",#REF!,"Special Fund",#REF!,'11-20 Appr (ADB and OSF only)'!$A38,#REF!,"Investment Facility")-SUMIFS(#REF!,#REF!,"2020",#REF!,"ADB",#REF!,'11-20 Appr (ADB and OSF only)'!$A38,#REF!,"Investment Facility")</f>
        <v>#REF!</v>
      </c>
    </row>
    <row r="39" spans="1:16" ht="14.25">
      <c r="A39" t="s">
        <v>216</v>
      </c>
      <c r="C39" s="28" t="s">
        <v>54</v>
      </c>
      <c r="D39" s="34">
        <v>0</v>
      </c>
      <c r="E39" s="34">
        <v>0</v>
      </c>
      <c r="F39" s="34">
        <v>0</v>
      </c>
      <c r="G39" s="34">
        <v>15.82</v>
      </c>
      <c r="H39" s="36">
        <v>0</v>
      </c>
      <c r="I39" s="27">
        <v>0</v>
      </c>
      <c r="J39" s="40">
        <v>0</v>
      </c>
      <c r="K39" s="27">
        <v>33.090000000000003</v>
      </c>
      <c r="L39" s="27">
        <v>0</v>
      </c>
      <c r="M39" s="27">
        <v>13.399999999999999</v>
      </c>
      <c r="N39" s="27">
        <v>11.75</v>
      </c>
      <c r="O39" s="35" t="e">
        <f>SUMIFS(#REF!,#REF!,"2019",#REF!,"ADB",#REF!,'11-20 Appr (ADB and OSF only)'!$A39)-SUMIFS(#REF!,#REF!,"2019",#REF!,"ADB",#REF!,'11-20 Appr (ADB and OSF only)'!$A39,#REF!,"TA")-SUMIFS(#REF!,#REF!,"2019",#REF!,"ADB",#REF!,'11-20 Appr (ADB and OSF only)'!$A39,#REF!,"TA Cluster")+SUMIFS(#REF!,#REF!,"2019",#REF!,"Special Fund",#REF!,'11-20 Appr (ADB and OSF only)'!$A39)-SUMIFS(#REF!,#REF!,"2019",#REF!,"Special Fund",#REF!,'11-20 Appr (ADB and OSF only)'!$A39,#REF!,"TA")-SUMIFS(#REF!,#REF!,"2019",#REF!,"Special Fund",#REF!,'11-20 Appr (ADB and OSF only)'!$A39,#REF!,"TA Cluster")-SUMIFS(#REF!,#REF!,"2019",#REF!,"Special Fund",#REF!,'11-20 Appr (ADB and OSF only)'!$A39,#REF!,"MFF")-SUMIFS(#REF!,#REF!,"2019",#REF!,"ADB",#REF!,'11-20 Appr (ADB and OSF only)'!$A39,#REF!,"MFF")-SUMIFS(#REF!,#REF!,"2019",#REF!,"Special Fund",#REF!,'11-20 Appr (ADB and OSF only)'!$A39,#REF!,"Investment Facility")-SUMIFS(#REF!,#REF!,"2019",#REF!,"ADB",#REF!,'11-20 Appr (ADB and OSF only)'!$A39,#REF!,"Investment Facility")</f>
        <v>#REF!</v>
      </c>
      <c r="P39" s="35" t="e">
        <f>SUMIFS(#REF!,#REF!,"2020",#REF!,"ADB",#REF!,'11-20 Appr (ADB and OSF only)'!$A39)-SUMIFS(#REF!,#REF!,"2020",#REF!,"ADB",#REF!,'11-20 Appr (ADB and OSF only)'!$A39,#REF!,"TA")-SUMIFS(#REF!,#REF!,"2020",#REF!,"ADB",#REF!,'11-20 Appr (ADB and OSF only)'!$A39,#REF!,"TA Cluster")+SUMIFS(#REF!,#REF!,"2020",#REF!,"Special Fund",#REF!,'11-20 Appr (ADB and OSF only)'!$A39)-SUMIFS(#REF!,#REF!,"2020",#REF!,"Special Fund",#REF!,'11-20 Appr (ADB and OSF only)'!$A39,#REF!,"TA")-SUMIFS(#REF!,#REF!,"2020",#REF!,"Special Fund",#REF!,'11-20 Appr (ADB and OSF only)'!$A39,#REF!,"TA Cluster")-SUMIFS(#REF!,#REF!,"2020",#REF!,"Special Fund",#REF!,'11-20 Appr (ADB and OSF only)'!$A39,#REF!,"MFF")-SUMIFS(#REF!,#REF!,"2020",#REF!,"ADB",#REF!,'11-20 Appr (ADB and OSF only)'!$A39,#REF!,"MFF")-SUMIFS(#REF!,#REF!,"2020",#REF!,"Special Fund",#REF!,'11-20 Appr (ADB and OSF only)'!$A39,#REF!,"Investment Facility")-SUMIFS(#REF!,#REF!,"2020",#REF!,"ADB",#REF!,'11-20 Appr (ADB and OSF only)'!$A39,#REF!,"Investment Facility")</f>
        <v>#REF!</v>
      </c>
    </row>
    <row r="40" spans="1:16" ht="15">
      <c r="C40" s="25" t="s">
        <v>217</v>
      </c>
      <c r="D40" s="31">
        <v>2788.81</v>
      </c>
      <c r="E40" s="31">
        <v>5656.6668141999999</v>
      </c>
      <c r="F40" s="31">
        <v>2994.7139999999999</v>
      </c>
      <c r="G40" s="31">
        <v>2339.3000000000002</v>
      </c>
      <c r="H40" s="38">
        <v>3924.2599999999998</v>
      </c>
      <c r="I40" s="33">
        <v>3569.0018949999994</v>
      </c>
      <c r="J40" s="33">
        <v>3447.3</v>
      </c>
      <c r="K40" s="33">
        <v>3809.3266410000001</v>
      </c>
      <c r="L40" s="33">
        <f>SUM(L41:L48)</f>
        <v>3920.7200000000003</v>
      </c>
      <c r="M40" s="33">
        <f>SUM(M41:M48)</f>
        <v>4128.95</v>
      </c>
      <c r="N40" s="33">
        <f>SUM(N41:N48)</f>
        <v>6199.9290410000003</v>
      </c>
      <c r="O40" s="33" t="e">
        <f>SUM(O41:O48)</f>
        <v>#REF!</v>
      </c>
      <c r="P40" s="33" t="e">
        <f>SUM(P41:P48)</f>
        <v>#REF!</v>
      </c>
    </row>
    <row r="41" spans="1:16" ht="14.25">
      <c r="A41" t="s">
        <v>218</v>
      </c>
      <c r="C41" s="26" t="s">
        <v>15</v>
      </c>
      <c r="D41" s="34">
        <v>84.11</v>
      </c>
      <c r="E41" s="34">
        <v>144.45999999999998</v>
      </c>
      <c r="F41" s="34">
        <v>160.80000000000001</v>
      </c>
      <c r="G41" s="34">
        <v>70</v>
      </c>
      <c r="H41" s="34">
        <v>275.46000000000004</v>
      </c>
      <c r="I41" s="27">
        <v>148</v>
      </c>
      <c r="J41" s="27">
        <v>226</v>
      </c>
      <c r="K41" s="27">
        <v>130</v>
      </c>
      <c r="L41" s="27">
        <v>195.6</v>
      </c>
      <c r="M41" s="27">
        <v>170.00000000000003</v>
      </c>
      <c r="N41" s="27">
        <f>449-10</f>
        <v>439</v>
      </c>
      <c r="O41" s="35" t="e">
        <f>SUMIFS(#REF!,#REF!,"2019",#REF!,"ADB",#REF!,'11-20 Appr (ADB and OSF only)'!$A41)-SUMIFS(#REF!,#REF!,"2019",#REF!,"ADB",#REF!,'11-20 Appr (ADB and OSF only)'!$A41,#REF!,"TA")-SUMIFS(#REF!,#REF!,"2019",#REF!,"ADB",#REF!,'11-20 Appr (ADB and OSF only)'!$A41,#REF!,"TA Cluster")+SUMIFS(#REF!,#REF!,"2019",#REF!,"Special Fund",#REF!,'11-20 Appr (ADB and OSF only)'!$A41)-SUMIFS(#REF!,#REF!,"2019",#REF!,"Special Fund",#REF!,'11-20 Appr (ADB and OSF only)'!$A41,#REF!,"TA")-SUMIFS(#REF!,#REF!,"2019",#REF!,"Special Fund",#REF!,'11-20 Appr (ADB and OSF only)'!$A41,#REF!,"TA Cluster")-SUMIFS(#REF!,#REF!,"2019",#REF!,"Special Fund",#REF!,'11-20 Appr (ADB and OSF only)'!$A41,#REF!,"MFF")-SUMIFS(#REF!,#REF!,"2019",#REF!,"ADB",#REF!,'11-20 Appr (ADB and OSF only)'!$A41,#REF!,"MFF")-SUMIFS(#REF!,#REF!,"2019",#REF!,"Special Fund",#REF!,'11-20 Appr (ADB and OSF only)'!$A41,#REF!,"Investment Facility")-SUMIFS(#REF!,#REF!,"2019",#REF!,"ADB",#REF!,'11-20 Appr (ADB and OSF only)'!$A41,#REF!,"Investment Facility")</f>
        <v>#REF!</v>
      </c>
      <c r="P41" s="35" t="e">
        <f>SUMIFS(#REF!,#REF!,"2020",#REF!,"ADB",#REF!,'11-20 Appr (ADB and OSF only)'!$A41)-SUMIFS(#REF!,#REF!,"2020",#REF!,"ADB",#REF!,'11-20 Appr (ADB and OSF only)'!$A41,#REF!,"TA")-SUMIFS(#REF!,#REF!,"2020",#REF!,"ADB",#REF!,'11-20 Appr (ADB and OSF only)'!$A41,#REF!,"TA Cluster")+SUMIFS(#REF!,#REF!,"2020",#REF!,"Special Fund",#REF!,'11-20 Appr (ADB and OSF only)'!$A41)-SUMIFS(#REF!,#REF!,"2020",#REF!,"Special Fund",#REF!,'11-20 Appr (ADB and OSF only)'!$A41,#REF!,"TA")-SUMIFS(#REF!,#REF!,"2020",#REF!,"Special Fund",#REF!,'11-20 Appr (ADB and OSF only)'!$A41,#REF!,"TA Cluster")-SUMIFS(#REF!,#REF!,"2020",#REF!,"Special Fund",#REF!,'11-20 Appr (ADB and OSF only)'!$A41,#REF!,"MFF")-SUMIFS(#REF!,#REF!,"2020",#REF!,"ADB",#REF!,'11-20 Appr (ADB and OSF only)'!$A41,#REF!,"MFF")-SUMIFS(#REF!,#REF!,"2020",#REF!,"Special Fund",#REF!,'11-20 Appr (ADB and OSF only)'!$A41,#REF!,"Investment Facility")-SUMIFS(#REF!,#REF!,"2020",#REF!,"ADB",#REF!,'11-20 Appr (ADB and OSF only)'!$A41,#REF!,"Investment Facility")</f>
        <v>#REF!</v>
      </c>
    </row>
    <row r="42" spans="1:16" ht="14.25">
      <c r="A42" t="s">
        <v>220</v>
      </c>
      <c r="C42" s="26" t="s">
        <v>26</v>
      </c>
      <c r="D42" s="34">
        <v>1085</v>
      </c>
      <c r="E42" s="34">
        <v>2227.2399999999998</v>
      </c>
      <c r="F42" s="34">
        <v>488</v>
      </c>
      <c r="G42" s="34">
        <v>580</v>
      </c>
      <c r="H42" s="34">
        <v>1232.75</v>
      </c>
      <c r="I42" s="27">
        <v>969.02</v>
      </c>
      <c r="J42" s="27">
        <v>554.4</v>
      </c>
      <c r="K42" s="27">
        <v>1375</v>
      </c>
      <c r="L42" s="27">
        <v>1726.8999999999999</v>
      </c>
      <c r="M42" s="27">
        <v>1956.35</v>
      </c>
      <c r="N42" s="27">
        <v>2300.89</v>
      </c>
      <c r="O42" s="35" t="e">
        <f>SUMIFS(#REF!,#REF!,"2019",#REF!,"ADB",#REF!,'11-20 Appr (ADB and OSF only)'!$A42)-SUMIFS(#REF!,#REF!,"2019",#REF!,"ADB",#REF!,'11-20 Appr (ADB and OSF only)'!$A42,#REF!,"TA")-SUMIFS(#REF!,#REF!,"2019",#REF!,"ADB",#REF!,'11-20 Appr (ADB and OSF only)'!$A42,#REF!,"TA Cluster")+SUMIFS(#REF!,#REF!,"2019",#REF!,"Special Fund",#REF!,'11-20 Appr (ADB and OSF only)'!$A42)-SUMIFS(#REF!,#REF!,"2019",#REF!,"Special Fund",#REF!,'11-20 Appr (ADB and OSF only)'!$A42,#REF!,"TA")-SUMIFS(#REF!,#REF!,"2019",#REF!,"Special Fund",#REF!,'11-20 Appr (ADB and OSF only)'!$A42,#REF!,"TA Cluster")-SUMIFS(#REF!,#REF!,"2019",#REF!,"Special Fund",#REF!,'11-20 Appr (ADB and OSF only)'!$A42,#REF!,"MFF")-SUMIFS(#REF!,#REF!,"2019",#REF!,"ADB",#REF!,'11-20 Appr (ADB and OSF only)'!$A42,#REF!,"MFF")-SUMIFS(#REF!,#REF!,"2019",#REF!,"Special Fund",#REF!,'11-20 Appr (ADB and OSF only)'!$A42,#REF!,"Investment Facility")-SUMIFS(#REF!,#REF!,"2019",#REF!,"ADB",#REF!,'11-20 Appr (ADB and OSF only)'!$A42,#REF!,"Investment Facility")</f>
        <v>#REF!</v>
      </c>
      <c r="P42" s="35" t="e">
        <f>SUMIFS(#REF!,#REF!,"2020",#REF!,"ADB",#REF!,'11-20 Appr (ADB and OSF only)'!$A42)-SUMIFS(#REF!,#REF!,"2020",#REF!,"ADB",#REF!,'11-20 Appr (ADB and OSF only)'!$A42,#REF!,"TA")-SUMIFS(#REF!,#REF!,"2020",#REF!,"ADB",#REF!,'11-20 Appr (ADB and OSF only)'!$A42,#REF!,"TA Cluster")+SUMIFS(#REF!,#REF!,"2020",#REF!,"Special Fund",#REF!,'11-20 Appr (ADB and OSF only)'!$A42)-SUMIFS(#REF!,#REF!,"2020",#REF!,"Special Fund",#REF!,'11-20 Appr (ADB and OSF only)'!$A42,#REF!,"TA")-SUMIFS(#REF!,#REF!,"2020",#REF!,"Special Fund",#REF!,'11-20 Appr (ADB and OSF only)'!$A42,#REF!,"TA Cluster")-SUMIFS(#REF!,#REF!,"2020",#REF!,"Special Fund",#REF!,'11-20 Appr (ADB and OSF only)'!$A42,#REF!,"MFF")-SUMIFS(#REF!,#REF!,"2020",#REF!,"ADB",#REF!,'11-20 Appr (ADB and OSF only)'!$A42,#REF!,"MFF")-SUMIFS(#REF!,#REF!,"2020",#REF!,"Special Fund",#REF!,'11-20 Appr (ADB and OSF only)'!$A42,#REF!,"Investment Facility")-SUMIFS(#REF!,#REF!,"2020",#REF!,"ADB",#REF!,'11-20 Appr (ADB and OSF only)'!$A42,#REF!,"Investment Facility")</f>
        <v>#REF!</v>
      </c>
    </row>
    <row r="43" spans="1:16" ht="14.25">
      <c r="A43" t="s">
        <v>221</v>
      </c>
      <c r="C43" s="26" t="s">
        <v>213</v>
      </c>
      <c r="D43" s="34">
        <v>10</v>
      </c>
      <c r="E43" s="34">
        <v>102.91681419999999</v>
      </c>
      <c r="F43" s="34">
        <v>151.6</v>
      </c>
      <c r="G43" s="34">
        <v>65</v>
      </c>
      <c r="H43" s="34">
        <v>139.82999999999998</v>
      </c>
      <c r="I43" s="27">
        <v>114.378</v>
      </c>
      <c r="J43" s="27">
        <v>220</v>
      </c>
      <c r="K43" s="27">
        <v>95</v>
      </c>
      <c r="L43" s="27">
        <v>103.92</v>
      </c>
      <c r="M43" s="27">
        <v>45.6</v>
      </c>
      <c r="N43" s="27">
        <v>196</v>
      </c>
      <c r="O43" s="35" t="e">
        <f>SUMIFS(#REF!,#REF!,"2019",#REF!,"ADB",#REF!,'11-20 Appr (ADB and OSF only)'!$A43)-SUMIFS(#REF!,#REF!,"2019",#REF!,"ADB",#REF!,'11-20 Appr (ADB and OSF only)'!$A43,#REF!,"TA")-SUMIFS(#REF!,#REF!,"2019",#REF!,"ADB",#REF!,'11-20 Appr (ADB and OSF only)'!$A43,#REF!,"TA Cluster")+SUMIFS(#REF!,#REF!,"2019",#REF!,"Special Fund",#REF!,'11-20 Appr (ADB and OSF only)'!$A43)-SUMIFS(#REF!,#REF!,"2019",#REF!,"Special Fund",#REF!,'11-20 Appr (ADB and OSF only)'!$A43,#REF!,"TA")-SUMIFS(#REF!,#REF!,"2019",#REF!,"Special Fund",#REF!,'11-20 Appr (ADB and OSF only)'!$A43,#REF!,"TA Cluster")-SUMIFS(#REF!,#REF!,"2019",#REF!,"Special Fund",#REF!,'11-20 Appr (ADB and OSF only)'!$A43,#REF!,"MFF")-SUMIFS(#REF!,#REF!,"2019",#REF!,"ADB",#REF!,'11-20 Appr (ADB and OSF only)'!$A43,#REF!,"MFF")-SUMIFS(#REF!,#REF!,"2019",#REF!,"Special Fund",#REF!,'11-20 Appr (ADB and OSF only)'!$A43,#REF!,"Investment Facility")-SUMIFS(#REF!,#REF!,"2019",#REF!,"ADB",#REF!,'11-20 Appr (ADB and OSF only)'!$A43,#REF!,"Investment Facility")</f>
        <v>#REF!</v>
      </c>
      <c r="P43" s="35" t="e">
        <f>SUMIFS(#REF!,#REF!,"2020",#REF!,"ADB",#REF!,'11-20 Appr (ADB and OSF only)'!$A43)-SUMIFS(#REF!,#REF!,"2020",#REF!,"ADB",#REF!,'11-20 Appr (ADB and OSF only)'!$A43,#REF!,"TA")-SUMIFS(#REF!,#REF!,"2020",#REF!,"ADB",#REF!,'11-20 Appr (ADB and OSF only)'!$A43,#REF!,"TA Cluster")+SUMIFS(#REF!,#REF!,"2020",#REF!,"Special Fund",#REF!,'11-20 Appr (ADB and OSF only)'!$A43)-SUMIFS(#REF!,#REF!,"2020",#REF!,"Special Fund",#REF!,'11-20 Appr (ADB and OSF only)'!$A43,#REF!,"TA")-SUMIFS(#REF!,#REF!,"2020",#REF!,"Special Fund",#REF!,'11-20 Appr (ADB and OSF only)'!$A43,#REF!,"TA Cluster")-SUMIFS(#REF!,#REF!,"2020",#REF!,"Special Fund",#REF!,'11-20 Appr (ADB and OSF only)'!$A43,#REF!,"MFF")-SUMIFS(#REF!,#REF!,"2020",#REF!,"ADB",#REF!,'11-20 Appr (ADB and OSF only)'!$A43,#REF!,"MFF")-SUMIFS(#REF!,#REF!,"2020",#REF!,"Special Fund",#REF!,'11-20 Appr (ADB and OSF only)'!$A43,#REF!,"Investment Facility")-SUMIFS(#REF!,#REF!,"2020",#REF!,"ADB",#REF!,'11-20 Appr (ADB and OSF only)'!$A43,#REF!,"Investment Facility")</f>
        <v>#REF!</v>
      </c>
    </row>
    <row r="44" spans="1:16" ht="14.25">
      <c r="A44" t="s">
        <v>222</v>
      </c>
      <c r="C44" s="26" t="s">
        <v>32</v>
      </c>
      <c r="D44" s="34">
        <v>0</v>
      </c>
      <c r="E44" s="34">
        <v>0</v>
      </c>
      <c r="F44" s="34">
        <v>0</v>
      </c>
      <c r="G44" s="34">
        <v>0</v>
      </c>
      <c r="H44" s="34">
        <v>0</v>
      </c>
      <c r="I44" s="27">
        <v>0</v>
      </c>
      <c r="J44" s="27">
        <v>0</v>
      </c>
      <c r="K44" s="27">
        <v>0</v>
      </c>
      <c r="L44" s="27">
        <v>0</v>
      </c>
      <c r="M44" s="27">
        <v>0</v>
      </c>
      <c r="N44" s="27">
        <v>0</v>
      </c>
      <c r="O44" s="35" t="e">
        <f>SUMIFS(#REF!,#REF!,"2019",#REF!,"ADB",#REF!,'11-20 Appr (ADB and OSF only)'!$A44)-SUMIFS(#REF!,#REF!,"2019",#REF!,"ADB",#REF!,'11-20 Appr (ADB and OSF only)'!$A44,#REF!,"TA")-SUMIFS(#REF!,#REF!,"2019",#REF!,"ADB",#REF!,'11-20 Appr (ADB and OSF only)'!$A44,#REF!,"TA Cluster")+SUMIFS(#REF!,#REF!,"2019",#REF!,"Special Fund",#REF!,'11-20 Appr (ADB and OSF only)'!$A44)-SUMIFS(#REF!,#REF!,"2019",#REF!,"Special Fund",#REF!,'11-20 Appr (ADB and OSF only)'!$A44,#REF!,"TA")-SUMIFS(#REF!,#REF!,"2019",#REF!,"Special Fund",#REF!,'11-20 Appr (ADB and OSF only)'!$A44,#REF!,"TA Cluster")-SUMIFS(#REF!,#REF!,"2019",#REF!,"Special Fund",#REF!,'11-20 Appr (ADB and OSF only)'!$A44,#REF!,"MFF")-SUMIFS(#REF!,#REF!,"2019",#REF!,"ADB",#REF!,'11-20 Appr (ADB and OSF only)'!$A44,#REF!,"MFF")-SUMIFS(#REF!,#REF!,"2019",#REF!,"Special Fund",#REF!,'11-20 Appr (ADB and OSF only)'!$A44,#REF!,"Investment Facility")-SUMIFS(#REF!,#REF!,"2019",#REF!,"ADB",#REF!,'11-20 Appr (ADB and OSF only)'!$A44,#REF!,"Investment Facility")</f>
        <v>#REF!</v>
      </c>
      <c r="P44" s="35" t="e">
        <f>SUMIFS(#REF!,#REF!,"2020",#REF!,"ADB",#REF!,'11-20 Appr (ADB and OSF only)'!$A44)-SUMIFS(#REF!,#REF!,"2020",#REF!,"ADB",#REF!,'11-20 Appr (ADB and OSF only)'!$A44,#REF!,"TA")-SUMIFS(#REF!,#REF!,"2020",#REF!,"ADB",#REF!,'11-20 Appr (ADB and OSF only)'!$A44,#REF!,"TA Cluster")+SUMIFS(#REF!,#REF!,"2020",#REF!,"Special Fund",#REF!,'11-20 Appr (ADB and OSF only)'!$A44)-SUMIFS(#REF!,#REF!,"2020",#REF!,"Special Fund",#REF!,'11-20 Appr (ADB and OSF only)'!$A44,#REF!,"TA")-SUMIFS(#REF!,#REF!,"2020",#REF!,"Special Fund",#REF!,'11-20 Appr (ADB and OSF only)'!$A44,#REF!,"TA Cluster")-SUMIFS(#REF!,#REF!,"2020",#REF!,"Special Fund",#REF!,'11-20 Appr (ADB and OSF only)'!$A44,#REF!,"MFF")-SUMIFS(#REF!,#REF!,"2020",#REF!,"ADB",#REF!,'11-20 Appr (ADB and OSF only)'!$A44,#REF!,"MFF")-SUMIFS(#REF!,#REF!,"2020",#REF!,"Special Fund",#REF!,'11-20 Appr (ADB and OSF only)'!$A44,#REF!,"Investment Facility")-SUMIFS(#REF!,#REF!,"2020",#REF!,"ADB",#REF!,'11-20 Appr (ADB and OSF only)'!$A44,#REF!,"Investment Facility")</f>
        <v>#REF!</v>
      </c>
    </row>
    <row r="45" spans="1:16" ht="14.25">
      <c r="A45" t="s">
        <v>223</v>
      </c>
      <c r="C45" s="26" t="s">
        <v>109</v>
      </c>
      <c r="D45" s="34">
        <v>0</v>
      </c>
      <c r="E45" s="34">
        <v>0</v>
      </c>
      <c r="F45" s="34">
        <v>0</v>
      </c>
      <c r="G45" s="34">
        <v>0</v>
      </c>
      <c r="H45" s="34">
        <v>0</v>
      </c>
      <c r="I45" s="27">
        <v>635.5</v>
      </c>
      <c r="J45" s="27">
        <v>270</v>
      </c>
      <c r="K45" s="27">
        <v>545.20000000000005</v>
      </c>
      <c r="L45" s="27">
        <v>285.49</v>
      </c>
      <c r="M45" s="27">
        <v>0</v>
      </c>
      <c r="N45" s="27">
        <v>624.1</v>
      </c>
      <c r="O45" s="35" t="e">
        <f>SUMIFS(#REF!,#REF!,"2019",#REF!,"ADB",#REF!,'11-20 Appr (ADB and OSF only)'!$A45)-SUMIFS(#REF!,#REF!,"2019",#REF!,"ADB",#REF!,'11-20 Appr (ADB and OSF only)'!$A45,#REF!,"TA")-SUMIFS(#REF!,#REF!,"2019",#REF!,"ADB",#REF!,'11-20 Appr (ADB and OSF only)'!$A45,#REF!,"TA Cluster")+SUMIFS(#REF!,#REF!,"2019",#REF!,"Special Fund",#REF!,'11-20 Appr (ADB and OSF only)'!$A45)-SUMIFS(#REF!,#REF!,"2019",#REF!,"Special Fund",#REF!,'11-20 Appr (ADB and OSF only)'!$A45,#REF!,"TA")-SUMIFS(#REF!,#REF!,"2019",#REF!,"Special Fund",#REF!,'11-20 Appr (ADB and OSF only)'!$A45,#REF!,"TA Cluster")-SUMIFS(#REF!,#REF!,"2019",#REF!,"Special Fund",#REF!,'11-20 Appr (ADB and OSF only)'!$A45,#REF!,"MFF")-SUMIFS(#REF!,#REF!,"2019",#REF!,"ADB",#REF!,'11-20 Appr (ADB and OSF only)'!$A45,#REF!,"MFF")-SUMIFS(#REF!,#REF!,"2019",#REF!,"Special Fund",#REF!,'11-20 Appr (ADB and OSF only)'!$A45,#REF!,"Investment Facility")-SUMIFS(#REF!,#REF!,"2019",#REF!,"ADB",#REF!,'11-20 Appr (ADB and OSF only)'!$A45,#REF!,"Investment Facility")</f>
        <v>#REF!</v>
      </c>
      <c r="P45" s="35" t="e">
        <f>SUMIFS(#REF!,#REF!,"2020",#REF!,"ADB",#REF!,'11-20 Appr (ADB and OSF only)'!$A45)-SUMIFS(#REF!,#REF!,"2020",#REF!,"ADB",#REF!,'11-20 Appr (ADB and OSF only)'!$A45,#REF!,"TA")-SUMIFS(#REF!,#REF!,"2020",#REF!,"ADB",#REF!,'11-20 Appr (ADB and OSF only)'!$A45,#REF!,"TA Cluster")+SUMIFS(#REF!,#REF!,"2020",#REF!,"Special Fund",#REF!,'11-20 Appr (ADB and OSF only)'!$A45)-SUMIFS(#REF!,#REF!,"2020",#REF!,"Special Fund",#REF!,'11-20 Appr (ADB and OSF only)'!$A45,#REF!,"TA")-SUMIFS(#REF!,#REF!,"2020",#REF!,"Special Fund",#REF!,'11-20 Appr (ADB and OSF only)'!$A45,#REF!,"TA Cluster")-SUMIFS(#REF!,#REF!,"2020",#REF!,"Special Fund",#REF!,'11-20 Appr (ADB and OSF only)'!$A45,#REF!,"MFF")-SUMIFS(#REF!,#REF!,"2020",#REF!,"ADB",#REF!,'11-20 Appr (ADB and OSF only)'!$A45,#REF!,"MFF")-SUMIFS(#REF!,#REF!,"2020",#REF!,"Special Fund",#REF!,'11-20 Appr (ADB and OSF only)'!$A45,#REF!,"Investment Facility")-SUMIFS(#REF!,#REF!,"2020",#REF!,"ADB",#REF!,'11-20 Appr (ADB and OSF only)'!$A45,#REF!,"Investment Facility")</f>
        <v>#REF!</v>
      </c>
    </row>
    <row r="46" spans="1:16" ht="14.25">
      <c r="A46" t="s">
        <v>224</v>
      </c>
      <c r="C46" s="26" t="s">
        <v>43</v>
      </c>
      <c r="D46" s="34">
        <v>820</v>
      </c>
      <c r="E46" s="34">
        <v>1179.0999999999999</v>
      </c>
      <c r="F46" s="34">
        <v>600</v>
      </c>
      <c r="G46" s="34">
        <v>365</v>
      </c>
      <c r="H46" s="34">
        <v>776.41</v>
      </c>
      <c r="I46" s="27">
        <v>875.10389499999997</v>
      </c>
      <c r="J46" s="27">
        <v>975</v>
      </c>
      <c r="K46" s="27">
        <v>841.8066409999999</v>
      </c>
      <c r="L46" s="27">
        <v>833.3</v>
      </c>
      <c r="M46" s="27">
        <v>1080</v>
      </c>
      <c r="N46" s="27">
        <v>1030</v>
      </c>
      <c r="O46" s="35" t="e">
        <f>SUMIFS(#REF!,#REF!,"2019",#REF!,"ADB",#REF!,'11-20 Appr (ADB and OSF only)'!$A46)-SUMIFS(#REF!,#REF!,"2019",#REF!,"ADB",#REF!,'11-20 Appr (ADB and OSF only)'!$A46,#REF!,"TA")-SUMIFS(#REF!,#REF!,"2019",#REF!,"ADB",#REF!,'11-20 Appr (ADB and OSF only)'!$A46,#REF!,"TA Cluster")+SUMIFS(#REF!,#REF!,"2019",#REF!,"Special Fund",#REF!,'11-20 Appr (ADB and OSF only)'!$A46)-SUMIFS(#REF!,#REF!,"2019",#REF!,"Special Fund",#REF!,'11-20 Appr (ADB and OSF only)'!$A46,#REF!,"TA")-SUMIFS(#REF!,#REF!,"2019",#REF!,"Special Fund",#REF!,'11-20 Appr (ADB and OSF only)'!$A46,#REF!,"TA Cluster")-SUMIFS(#REF!,#REF!,"2019",#REF!,"Special Fund",#REF!,'11-20 Appr (ADB and OSF only)'!$A46,#REF!,"MFF")-SUMIFS(#REF!,#REF!,"2019",#REF!,"ADB",#REF!,'11-20 Appr (ADB and OSF only)'!$A46,#REF!,"MFF")-SUMIFS(#REF!,#REF!,"2019",#REF!,"Special Fund",#REF!,'11-20 Appr (ADB and OSF only)'!$A46,#REF!,"Investment Facility")-SUMIFS(#REF!,#REF!,"2019",#REF!,"ADB",#REF!,'11-20 Appr (ADB and OSF only)'!$A46,#REF!,"Investment Facility")</f>
        <v>#REF!</v>
      </c>
      <c r="P46" s="35" t="e">
        <f>SUMIFS(#REF!,#REF!,"2020",#REF!,"ADB",#REF!,'11-20 Appr (ADB and OSF only)'!$A46)-SUMIFS(#REF!,#REF!,"2020",#REF!,"ADB",#REF!,'11-20 Appr (ADB and OSF only)'!$A46,#REF!,"TA")-SUMIFS(#REF!,#REF!,"2020",#REF!,"ADB",#REF!,'11-20 Appr (ADB and OSF only)'!$A46,#REF!,"TA Cluster")+SUMIFS(#REF!,#REF!,"2020",#REF!,"Special Fund",#REF!,'11-20 Appr (ADB and OSF only)'!$A46)-SUMIFS(#REF!,#REF!,"2020",#REF!,"Special Fund",#REF!,'11-20 Appr (ADB and OSF only)'!$A46,#REF!,"TA")-SUMIFS(#REF!,#REF!,"2020",#REF!,"Special Fund",#REF!,'11-20 Appr (ADB and OSF only)'!$A46,#REF!,"TA Cluster")-SUMIFS(#REF!,#REF!,"2020",#REF!,"Special Fund",#REF!,'11-20 Appr (ADB and OSF only)'!$A46,#REF!,"MFF")-SUMIFS(#REF!,#REF!,"2020",#REF!,"ADB",#REF!,'11-20 Appr (ADB and OSF only)'!$A46,#REF!,"MFF")-SUMIFS(#REF!,#REF!,"2020",#REF!,"Special Fund",#REF!,'11-20 Appr (ADB and OSF only)'!$A46,#REF!,"Investment Facility")-SUMIFS(#REF!,#REF!,"2020",#REF!,"ADB",#REF!,'11-20 Appr (ADB and OSF only)'!$A46,#REF!,"Investment Facility")</f>
        <v>#REF!</v>
      </c>
    </row>
    <row r="47" spans="1:16" ht="14.25">
      <c r="A47" t="s">
        <v>225</v>
      </c>
      <c r="C47" s="26" t="s">
        <v>48</v>
      </c>
      <c r="D47" s="34">
        <v>0</v>
      </c>
      <c r="E47" s="34">
        <v>77.099999999999994</v>
      </c>
      <c r="F47" s="34">
        <v>504.31399999999996</v>
      </c>
      <c r="G47" s="34">
        <v>173</v>
      </c>
      <c r="H47" s="34">
        <v>214.73999999999998</v>
      </c>
      <c r="I47" s="27">
        <v>52</v>
      </c>
      <c r="J47" s="27">
        <v>53</v>
      </c>
      <c r="K47" s="27">
        <v>0</v>
      </c>
      <c r="L47" s="27">
        <f>43.563784-43.563784</f>
        <v>0</v>
      </c>
      <c r="M47" s="27">
        <v>208</v>
      </c>
      <c r="N47" s="27">
        <v>700.6790410000001</v>
      </c>
      <c r="O47" s="35" t="e">
        <f>SUMIFS(#REF!,#REF!,"2019",#REF!,"ADB",#REF!,'11-20 Appr (ADB and OSF only)'!$A47)-SUMIFS(#REF!,#REF!,"2019",#REF!,"ADB",#REF!,'11-20 Appr (ADB and OSF only)'!$A47,#REF!,"TA")-SUMIFS(#REF!,#REF!,"2019",#REF!,"ADB",#REF!,'11-20 Appr (ADB and OSF only)'!$A47,#REF!,"TA Cluster")+SUMIFS(#REF!,#REF!,"2019",#REF!,"Special Fund",#REF!,'11-20 Appr (ADB and OSF only)'!$A47)-SUMIFS(#REF!,#REF!,"2019",#REF!,"Special Fund",#REF!,'11-20 Appr (ADB and OSF only)'!$A47,#REF!,"TA")-SUMIFS(#REF!,#REF!,"2019",#REF!,"Special Fund",#REF!,'11-20 Appr (ADB and OSF only)'!$A47,#REF!,"TA Cluster")-SUMIFS(#REF!,#REF!,"2019",#REF!,"Special Fund",#REF!,'11-20 Appr (ADB and OSF only)'!$A47,#REF!,"MFF")-SUMIFS(#REF!,#REF!,"2019",#REF!,"ADB",#REF!,'11-20 Appr (ADB and OSF only)'!$A47,#REF!,"MFF")-SUMIFS(#REF!,#REF!,"2019",#REF!,"Special Fund",#REF!,'11-20 Appr (ADB and OSF only)'!$A47,#REF!,"Investment Facility")-SUMIFS(#REF!,#REF!,"2019",#REF!,"ADB",#REF!,'11-20 Appr (ADB and OSF only)'!$A47,#REF!,"Investment Facility")</f>
        <v>#REF!</v>
      </c>
      <c r="P47" s="35" t="e">
        <f>SUMIFS(#REF!,#REF!,"2020",#REF!,"ADB",#REF!,'11-20 Appr (ADB and OSF only)'!$A47)-SUMIFS(#REF!,#REF!,"2020",#REF!,"ADB",#REF!,'11-20 Appr (ADB and OSF only)'!$A47,#REF!,"TA")-SUMIFS(#REF!,#REF!,"2020",#REF!,"ADB",#REF!,'11-20 Appr (ADB and OSF only)'!$A47,#REF!,"TA Cluster")+SUMIFS(#REF!,#REF!,"2020",#REF!,"Special Fund",#REF!,'11-20 Appr (ADB and OSF only)'!$A47)-SUMIFS(#REF!,#REF!,"2020",#REF!,"Special Fund",#REF!,'11-20 Appr (ADB and OSF only)'!$A47,#REF!,"TA")-SUMIFS(#REF!,#REF!,"2020",#REF!,"Special Fund",#REF!,'11-20 Appr (ADB and OSF only)'!$A47,#REF!,"TA Cluster")-SUMIFS(#REF!,#REF!,"2020",#REF!,"Special Fund",#REF!,'11-20 Appr (ADB and OSF only)'!$A47,#REF!,"MFF")-SUMIFS(#REF!,#REF!,"2020",#REF!,"ADB",#REF!,'11-20 Appr (ADB and OSF only)'!$A47,#REF!,"MFF")-SUMIFS(#REF!,#REF!,"2020",#REF!,"Special Fund",#REF!,'11-20 Appr (ADB and OSF only)'!$A47,#REF!,"Investment Facility")-SUMIFS(#REF!,#REF!,"2020",#REF!,"ADB",#REF!,'11-20 Appr (ADB and OSF only)'!$A47,#REF!,"Investment Facility")</f>
        <v>#REF!</v>
      </c>
    </row>
    <row r="48" spans="1:16" ht="14.25">
      <c r="A48" t="s">
        <v>226</v>
      </c>
      <c r="C48" s="28" t="s">
        <v>55</v>
      </c>
      <c r="D48" s="34">
        <v>789.7</v>
      </c>
      <c r="E48" s="34">
        <v>1925.85</v>
      </c>
      <c r="F48" s="34">
        <v>1090</v>
      </c>
      <c r="G48" s="34">
        <v>1086.3</v>
      </c>
      <c r="H48" s="36">
        <v>1285.0700000000002</v>
      </c>
      <c r="I48" s="27">
        <v>775</v>
      </c>
      <c r="J48" s="37">
        <v>1148.9000000000001</v>
      </c>
      <c r="K48" s="27">
        <v>822.32</v>
      </c>
      <c r="L48" s="27">
        <v>775.51</v>
      </c>
      <c r="M48" s="27">
        <v>669</v>
      </c>
      <c r="N48" s="27">
        <v>909.26</v>
      </c>
      <c r="O48" s="35" t="e">
        <f>SUMIFS(#REF!,#REF!,"2019",#REF!,"ADB",#REF!,'11-20 Appr (ADB and OSF only)'!$A48)-SUMIFS(#REF!,#REF!,"2019",#REF!,"ADB",#REF!,'11-20 Appr (ADB and OSF only)'!$A48,#REF!,"TA")-SUMIFS(#REF!,#REF!,"2019",#REF!,"ADB",#REF!,'11-20 Appr (ADB and OSF only)'!$A48,#REF!,"TA Cluster")+SUMIFS(#REF!,#REF!,"2019",#REF!,"Special Fund",#REF!,'11-20 Appr (ADB and OSF only)'!$A48)-SUMIFS(#REF!,#REF!,"2019",#REF!,"Special Fund",#REF!,'11-20 Appr (ADB and OSF only)'!$A48,#REF!,"TA")-SUMIFS(#REF!,#REF!,"2019",#REF!,"Special Fund",#REF!,'11-20 Appr (ADB and OSF only)'!$A48,#REF!,"TA Cluster")-SUMIFS(#REF!,#REF!,"2019",#REF!,"Special Fund",#REF!,'11-20 Appr (ADB and OSF only)'!$A48,#REF!,"MFF")-SUMIFS(#REF!,#REF!,"2019",#REF!,"ADB",#REF!,'11-20 Appr (ADB and OSF only)'!$A48,#REF!,"MFF")-SUMIFS(#REF!,#REF!,"2019",#REF!,"Special Fund",#REF!,'11-20 Appr (ADB and OSF only)'!$A48,#REF!,"Investment Facility")-SUMIFS(#REF!,#REF!,"2019",#REF!,"ADB",#REF!,'11-20 Appr (ADB and OSF only)'!$A48,#REF!,"Investment Facility")</f>
        <v>#REF!</v>
      </c>
      <c r="P48" s="35" t="e">
        <f>SUMIFS(#REF!,#REF!,"2020",#REF!,"ADB",#REF!,'11-20 Appr (ADB and OSF only)'!$A48)-SUMIFS(#REF!,#REF!,"2020",#REF!,"ADB",#REF!,'11-20 Appr (ADB and OSF only)'!$A48,#REF!,"TA")-SUMIFS(#REF!,#REF!,"2020",#REF!,"ADB",#REF!,'11-20 Appr (ADB and OSF only)'!$A48,#REF!,"TA Cluster")+SUMIFS(#REF!,#REF!,"2020",#REF!,"Special Fund",#REF!,'11-20 Appr (ADB and OSF only)'!$A48)-SUMIFS(#REF!,#REF!,"2020",#REF!,"Special Fund",#REF!,'11-20 Appr (ADB and OSF only)'!$A48,#REF!,"TA")-SUMIFS(#REF!,#REF!,"2020",#REF!,"Special Fund",#REF!,'11-20 Appr (ADB and OSF only)'!$A48,#REF!,"TA Cluster")-SUMIFS(#REF!,#REF!,"2020",#REF!,"Special Fund",#REF!,'11-20 Appr (ADB and OSF only)'!$A48,#REF!,"MFF")-SUMIFS(#REF!,#REF!,"2020",#REF!,"ADB",#REF!,'11-20 Appr (ADB and OSF only)'!$A48,#REF!,"MFF")-SUMIFS(#REF!,#REF!,"2020",#REF!,"Special Fund",#REF!,'11-20 Appr (ADB and OSF only)'!$A48,#REF!,"Investment Facility")-SUMIFS(#REF!,#REF!,"2020",#REF!,"ADB",#REF!,'11-20 Appr (ADB and OSF only)'!$A48,#REF!,"Investment Facility")</f>
        <v>#REF!</v>
      </c>
    </row>
    <row r="49" spans="1:16" ht="15">
      <c r="C49" s="25" t="s">
        <v>156</v>
      </c>
      <c r="D49" s="31">
        <v>80</v>
      </c>
      <c r="E49" s="31">
        <v>965</v>
      </c>
      <c r="F49" s="31">
        <v>415</v>
      </c>
      <c r="G49" s="31">
        <v>174</v>
      </c>
      <c r="H49" s="38">
        <v>342.6</v>
      </c>
      <c r="I49" s="33">
        <v>60</v>
      </c>
      <c r="J49" s="39">
        <v>81</v>
      </c>
      <c r="K49" s="39">
        <v>94.999999999999901</v>
      </c>
      <c r="L49" s="39">
        <f>L50</f>
        <v>61.900000000000013</v>
      </c>
      <c r="M49" s="39">
        <f>M50</f>
        <v>619.99999999999977</v>
      </c>
      <c r="N49" s="39">
        <v>530.00000000000023</v>
      </c>
      <c r="O49" s="39" t="e">
        <f>O50</f>
        <v>#REF!</v>
      </c>
      <c r="P49" s="39" t="e">
        <f>P50</f>
        <v>#REF!</v>
      </c>
    </row>
    <row r="50" spans="1:16" ht="14.25">
      <c r="A50" t="s">
        <v>227</v>
      </c>
      <c r="C50" s="28" t="s">
        <v>156</v>
      </c>
      <c r="D50" s="34">
        <v>80</v>
      </c>
      <c r="E50" s="34">
        <v>965</v>
      </c>
      <c r="F50" s="34">
        <v>415</v>
      </c>
      <c r="G50" s="34">
        <v>174</v>
      </c>
      <c r="H50" s="36">
        <v>342.6</v>
      </c>
      <c r="I50" s="27">
        <v>60</v>
      </c>
      <c r="J50" s="37">
        <v>81</v>
      </c>
      <c r="K50" s="27">
        <v>94.999999999999901</v>
      </c>
      <c r="L50" s="27">
        <v>61.900000000000013</v>
      </c>
      <c r="M50" s="27">
        <v>619.99999999999977</v>
      </c>
      <c r="N50" s="27">
        <v>530.00000000000023</v>
      </c>
      <c r="O50" s="35" t="e">
        <f>SUMIFS(#REF!,#REF!,"2019",#REF!,"ADB",#REF!,'11-20 Appr (ADB and OSF only)'!$A50)-SUMIFS(#REF!,#REF!,"2019",#REF!,"ADB",#REF!,'11-20 Appr (ADB and OSF only)'!$A50,#REF!,"TA")-SUMIFS(#REF!,#REF!,"2019",#REF!,"ADB",#REF!,'11-20 Appr (ADB and OSF only)'!$A50,#REF!,"TA Cluster")+SUMIFS(#REF!,#REF!,"2019",#REF!,"Special Fund",#REF!,'11-20 Appr (ADB and OSF only)'!$A50)-SUMIFS(#REF!,#REF!,"2019",#REF!,"Special Fund",#REF!,'11-20 Appr (ADB and OSF only)'!$A50,#REF!,"TA")-SUMIFS(#REF!,#REF!,"2019",#REF!,"Special Fund",#REF!,'11-20 Appr (ADB and OSF only)'!$A50,#REF!,"TA Cluster")-SUMIFS(#REF!,#REF!,"2019",#REF!,"Special Fund",#REF!,'11-20 Appr (ADB and OSF only)'!$A50,#REF!,"MFF")-SUMIFS(#REF!,#REF!,"2019",#REF!,"ADB",#REF!,'11-20 Appr (ADB and OSF only)'!$A50,#REF!,"MFF")-SUMIFS(#REF!,#REF!,"2019",#REF!,"Special Fund",#REF!,'11-20 Appr (ADB and OSF only)'!$A50,#REF!,"Investment Facility")-SUMIFS(#REF!,#REF!,"2019",#REF!,"ADB",#REF!,'11-20 Appr (ADB and OSF only)'!$A50,#REF!,"Investment Facility")</f>
        <v>#REF!</v>
      </c>
      <c r="P50" s="35" t="e">
        <f>SUMIFS(#REF!,#REF!,"2020",#REF!,"ADB",#REF!,'11-20 Appr (ADB and OSF only)'!$A50)-SUMIFS(#REF!,#REF!,"2020",#REF!,"ADB",#REF!,'11-20 Appr (ADB and OSF only)'!$A50,#REF!,"TA")-SUMIFS(#REF!,#REF!,"2020",#REF!,"ADB",#REF!,'11-20 Appr (ADB and OSF only)'!$A50,#REF!,"TA Cluster")+SUMIFS(#REF!,#REF!,"2020",#REF!,"Special Fund",#REF!,'11-20 Appr (ADB and OSF only)'!$A50)-SUMIFS(#REF!,#REF!,"2020",#REF!,"Special Fund",#REF!,'11-20 Appr (ADB and OSF only)'!$A50,#REF!,"TA")-SUMIFS(#REF!,#REF!,"2020",#REF!,"Special Fund",#REF!,'11-20 Appr (ADB and OSF only)'!$A50,#REF!,"TA Cluster")-SUMIFS(#REF!,#REF!,"2020",#REF!,"Special Fund",#REF!,'11-20 Appr (ADB and OSF only)'!$A50,#REF!,"MFF")-SUMIFS(#REF!,#REF!,"2020",#REF!,"ADB",#REF!,'11-20 Appr (ADB and OSF only)'!$A50,#REF!,"MFF")-SUMIFS(#REF!,#REF!,"2020",#REF!,"Special Fund",#REF!,'11-20 Appr (ADB and OSF only)'!$A50,#REF!,"Investment Facility")-SUMIFS(#REF!,#REF!,"2020",#REF!,"ADB",#REF!,'11-20 Appr (ADB and OSF only)'!$A50,#REF!,"Investment Facility")</f>
        <v>#REF!</v>
      </c>
    </row>
    <row r="51" spans="1:16" ht="15">
      <c r="C51" s="29" t="s">
        <v>228</v>
      </c>
      <c r="D51" s="41">
        <f t="shared" ref="D51:P51" si="0">D49+D40+D24+D21+D14+D3</f>
        <v>10709.363032011748</v>
      </c>
      <c r="E51" s="41">
        <f t="shared" si="0"/>
        <v>15175.598828491571</v>
      </c>
      <c r="F51" s="41">
        <v>12500.952378508229</v>
      </c>
      <c r="G51" s="41">
        <v>12904.92</v>
      </c>
      <c r="H51" s="41">
        <v>12481.930000000004</v>
      </c>
      <c r="I51" s="41">
        <v>14048.357894999999</v>
      </c>
      <c r="J51" s="41">
        <v>13425.138567</v>
      </c>
      <c r="K51" s="41">
        <v>15606.606641000002</v>
      </c>
      <c r="L51" s="41">
        <f t="shared" si="0"/>
        <v>16986.034</v>
      </c>
      <c r="M51" s="41">
        <f t="shared" si="0"/>
        <v>18976.060000000001</v>
      </c>
      <c r="N51" s="41">
        <f t="shared" si="0"/>
        <v>19306.173040999998</v>
      </c>
      <c r="O51" s="41" t="e">
        <f t="shared" si="0"/>
        <v>#REF!</v>
      </c>
      <c r="P51" s="41" t="e">
        <f t="shared" si="0"/>
        <v>#REF!</v>
      </c>
    </row>
    <row r="52" spans="1:16" ht="14.25">
      <c r="C52" s="1"/>
      <c r="D52" s="1"/>
      <c r="E52" s="1"/>
      <c r="F52" s="1"/>
      <c r="G52" s="1"/>
      <c r="H52" s="1"/>
      <c r="I52" s="1"/>
      <c r="J52" s="1"/>
      <c r="K52" s="1"/>
      <c r="L52" s="1"/>
      <c r="M52" s="1"/>
      <c r="N52" s="1"/>
    </row>
    <row r="53" spans="1:16" ht="14.25">
      <c r="C53" s="1" t="s">
        <v>230</v>
      </c>
      <c r="D53" s="1"/>
      <c r="E53" s="1"/>
      <c r="F53" s="1"/>
      <c r="G53" s="1"/>
      <c r="H53" s="1"/>
      <c r="I53" s="1"/>
      <c r="J53" s="1"/>
      <c r="K53" s="1"/>
      <c r="L53" s="1"/>
      <c r="M53" s="1"/>
      <c r="N53" s="1"/>
    </row>
    <row r="54" spans="1:16">
      <c r="K54" s="2"/>
      <c r="L54" s="30"/>
      <c r="M54" s="30"/>
    </row>
    <row r="55" spans="1:16">
      <c r="K55" s="30"/>
      <c r="L55" s="30"/>
      <c r="M55" s="30"/>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4F13-07E0-4552-B4E3-44A49B9D8C8F}">
  <dimension ref="B1:M23"/>
  <sheetViews>
    <sheetView workbookViewId="0">
      <selection activeCell="L9" sqref="L9"/>
    </sheetView>
  </sheetViews>
  <sheetFormatPr defaultColWidth="9.140625" defaultRowHeight="15"/>
  <cols>
    <col min="1" max="1" width="9.140625" style="47"/>
    <col min="2" max="2" width="16.85546875" style="47" bestFit="1" customWidth="1"/>
    <col min="3" max="16384" width="9.140625" style="47"/>
  </cols>
  <sheetData>
    <row r="1" spans="2:13">
      <c r="I1" s="48" t="s">
        <v>231</v>
      </c>
    </row>
    <row r="2" spans="2:13">
      <c r="C2" s="48" t="s">
        <v>232</v>
      </c>
      <c r="D2" s="48" t="s">
        <v>233</v>
      </c>
      <c r="E2" s="48" t="s">
        <v>234</v>
      </c>
      <c r="F2" s="48" t="s">
        <v>235</v>
      </c>
      <c r="G2" s="48" t="s">
        <v>236</v>
      </c>
      <c r="H2" s="48" t="s">
        <v>237</v>
      </c>
      <c r="I2" s="48" t="s">
        <v>238</v>
      </c>
      <c r="J2" s="48" t="s">
        <v>239</v>
      </c>
      <c r="K2" s="48" t="s">
        <v>240</v>
      </c>
    </row>
    <row r="3" spans="2:13">
      <c r="C3" s="48" t="s">
        <v>241</v>
      </c>
      <c r="D3" s="48"/>
      <c r="E3" s="48"/>
      <c r="F3" s="48"/>
      <c r="G3" s="48"/>
      <c r="H3" s="48"/>
      <c r="I3" s="48"/>
      <c r="J3" s="48"/>
      <c r="K3" s="48"/>
    </row>
    <row r="4" spans="2:13">
      <c r="C4" s="48" t="s">
        <v>242</v>
      </c>
    </row>
    <row r="5" spans="2:13">
      <c r="C5" s="48" t="s">
        <v>243</v>
      </c>
    </row>
    <row r="6" spans="2:13">
      <c r="C6" s="48" t="s">
        <v>244</v>
      </c>
    </row>
    <row r="7" spans="2:13">
      <c r="C7" s="48" t="s">
        <v>245</v>
      </c>
    </row>
    <row r="8" spans="2:13">
      <c r="C8" s="48" t="s">
        <v>246</v>
      </c>
    </row>
    <row r="9" spans="2:13">
      <c r="B9" s="47" t="s">
        <v>247</v>
      </c>
      <c r="C9" s="48" t="s">
        <v>248</v>
      </c>
    </row>
    <row r="10" spans="2:13">
      <c r="C10" s="48" t="s">
        <v>249</v>
      </c>
    </row>
    <row r="11" spans="2:13">
      <c r="C11" s="49" t="s">
        <v>250</v>
      </c>
    </row>
    <row r="12" spans="2:13">
      <c r="C12" s="48" t="s">
        <v>251</v>
      </c>
    </row>
    <row r="13" spans="2:13">
      <c r="C13" s="48" t="s">
        <v>252</v>
      </c>
    </row>
    <row r="14" spans="2:13">
      <c r="C14" s="49" t="s">
        <v>253</v>
      </c>
    </row>
    <row r="15" spans="2:13">
      <c r="B15" s="47" t="s">
        <v>254</v>
      </c>
      <c r="C15" s="48" t="s">
        <v>255</v>
      </c>
      <c r="M15" s="139"/>
    </row>
    <row r="16" spans="2:13">
      <c r="C16" s="48" t="s">
        <v>256</v>
      </c>
      <c r="M16" s="139"/>
    </row>
    <row r="17" spans="2:13">
      <c r="C17" s="48" t="s">
        <v>257</v>
      </c>
      <c r="M17" s="139"/>
    </row>
    <row r="18" spans="2:13">
      <c r="C18" s="48" t="s">
        <v>258</v>
      </c>
      <c r="M18" s="139"/>
    </row>
    <row r="19" spans="2:13">
      <c r="B19" s="47" t="s">
        <v>259</v>
      </c>
      <c r="C19" s="49" t="s">
        <v>260</v>
      </c>
      <c r="M19" s="139"/>
    </row>
    <row r="20" spans="2:13">
      <c r="B20" s="47" t="s">
        <v>259</v>
      </c>
      <c r="C20" s="49" t="s">
        <v>261</v>
      </c>
      <c r="M20" s="139"/>
    </row>
    <row r="21" spans="2:13">
      <c r="M21" s="139"/>
    </row>
    <row r="22" spans="2:13">
      <c r="M22" s="139"/>
    </row>
    <row r="23" spans="2:13">
      <c r="M23" s="139"/>
    </row>
  </sheetData>
  <pageMargins left="0.7" right="0.7" top="0.75" bottom="0.75" header="0.3" footer="0.3"/>
  <pageSetup orientation="portrait" horizontalDpi="4294967293" verticalDpi="0" r:id="rId1"/>
  <headerFooter>
    <oddFooter>&amp;L&amp;1#&amp;"Calibri"&amp;9&amp;K000000INTERNAL. This information is accessible to ADB Management and staff. It may be shared outside ADB with appropriate permission.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3AD3-B565-4FED-8280-074111FFECCB}">
  <dimension ref="B3:R45"/>
  <sheetViews>
    <sheetView workbookViewId="0"/>
  </sheetViews>
  <sheetFormatPr defaultRowHeight="12.75"/>
  <cols>
    <col min="2" max="2" width="26.7109375" bestFit="1" customWidth="1"/>
  </cols>
  <sheetData>
    <row r="3" spans="2:18" ht="15">
      <c r="D3" s="43" t="s">
        <v>2</v>
      </c>
      <c r="E3" s="43" t="s">
        <v>3</v>
      </c>
      <c r="F3" s="42" t="s">
        <v>262</v>
      </c>
      <c r="G3" s="43" t="s">
        <v>2</v>
      </c>
      <c r="H3" s="43" t="s">
        <v>3</v>
      </c>
      <c r="I3" s="42" t="s">
        <v>263</v>
      </c>
      <c r="J3" s="43" t="s">
        <v>2</v>
      </c>
      <c r="K3" s="43" t="s">
        <v>3</v>
      </c>
      <c r="L3" s="42" t="s">
        <v>264</v>
      </c>
      <c r="M3" s="43" t="s">
        <v>2</v>
      </c>
      <c r="N3" s="43" t="s">
        <v>3</v>
      </c>
      <c r="O3" s="42" t="s">
        <v>265</v>
      </c>
      <c r="P3" s="43" t="s">
        <v>2</v>
      </c>
      <c r="Q3" s="43" t="s">
        <v>3</v>
      </c>
      <c r="R3" s="42" t="s">
        <v>266</v>
      </c>
    </row>
    <row r="4" spans="2:18">
      <c r="B4" t="s">
        <v>35</v>
      </c>
      <c r="C4" t="s">
        <v>197</v>
      </c>
      <c r="D4">
        <v>158.67989267999999</v>
      </c>
      <c r="F4" s="44">
        <v>158.67989267999999</v>
      </c>
      <c r="G4">
        <v>317.73658718000001</v>
      </c>
      <c r="I4" s="44">
        <v>317.73658718000001</v>
      </c>
      <c r="J4">
        <v>430</v>
      </c>
      <c r="L4" s="44">
        <v>430</v>
      </c>
      <c r="M4">
        <v>375.64</v>
      </c>
      <c r="N4">
        <v>46.982798080000002</v>
      </c>
      <c r="O4" s="44">
        <v>422.62279808</v>
      </c>
      <c r="P4">
        <v>373.78333368410279</v>
      </c>
      <c r="Q4">
        <v>15.117201920000001</v>
      </c>
      <c r="R4" s="44">
        <v>388.9005356041028</v>
      </c>
    </row>
    <row r="5" spans="2:18">
      <c r="B5" t="s">
        <v>267</v>
      </c>
      <c r="C5" t="s">
        <v>178</v>
      </c>
      <c r="D5">
        <v>255.18</v>
      </c>
      <c r="F5" s="44">
        <v>255.18</v>
      </c>
      <c r="I5" s="44"/>
      <c r="J5">
        <v>623.18000000000006</v>
      </c>
      <c r="L5" s="44">
        <v>623.18000000000006</v>
      </c>
      <c r="M5">
        <v>348.78</v>
      </c>
      <c r="N5">
        <v>4</v>
      </c>
      <c r="O5" s="44">
        <v>352.78</v>
      </c>
      <c r="P5">
        <v>316.68000000000006</v>
      </c>
      <c r="Q5">
        <v>10</v>
      </c>
      <c r="R5" s="44">
        <v>326.68000000000006</v>
      </c>
    </row>
    <row r="6" spans="2:18">
      <c r="B6" t="s">
        <v>7</v>
      </c>
      <c r="C6" t="s">
        <v>179</v>
      </c>
      <c r="D6">
        <v>139.07045053000002</v>
      </c>
      <c r="F6" s="44">
        <v>139.07045053000002</v>
      </c>
      <c r="G6">
        <v>40</v>
      </c>
      <c r="H6">
        <v>86</v>
      </c>
      <c r="I6" s="44">
        <v>126</v>
      </c>
      <c r="J6">
        <v>50</v>
      </c>
      <c r="K6">
        <v>62</v>
      </c>
      <c r="L6" s="44">
        <v>112</v>
      </c>
      <c r="M6">
        <v>50.293428030000001</v>
      </c>
      <c r="N6">
        <v>43.86</v>
      </c>
      <c r="O6" s="44">
        <v>94.153428030000001</v>
      </c>
      <c r="P6">
        <v>1.9999999999999998</v>
      </c>
      <c r="Q6">
        <v>34.999999999999993</v>
      </c>
      <c r="R6" s="44">
        <v>36.999999999999993</v>
      </c>
    </row>
    <row r="7" spans="2:18">
      <c r="B7" t="s">
        <v>11</v>
      </c>
      <c r="C7" t="s">
        <v>180</v>
      </c>
      <c r="D7">
        <v>750</v>
      </c>
      <c r="F7" s="44">
        <v>750</v>
      </c>
      <c r="G7">
        <v>898.27499999999998</v>
      </c>
      <c r="H7">
        <v>500</v>
      </c>
      <c r="I7" s="44">
        <v>1398.2750000000001</v>
      </c>
      <c r="J7">
        <v>250</v>
      </c>
      <c r="L7" s="44">
        <v>250</v>
      </c>
      <c r="M7">
        <v>250</v>
      </c>
      <c r="N7">
        <v>0</v>
      </c>
      <c r="O7" s="44">
        <v>250</v>
      </c>
      <c r="P7">
        <v>0</v>
      </c>
      <c r="Q7">
        <v>0</v>
      </c>
      <c r="R7" s="44">
        <v>0</v>
      </c>
    </row>
    <row r="8" spans="2:18">
      <c r="B8" t="s">
        <v>12</v>
      </c>
      <c r="C8" t="s">
        <v>189</v>
      </c>
      <c r="D8">
        <v>689.15393789999996</v>
      </c>
      <c r="E8">
        <v>15</v>
      </c>
      <c r="F8" s="44">
        <v>704.15393789999996</v>
      </c>
      <c r="G8">
        <v>1976.18679847</v>
      </c>
      <c r="H8">
        <v>20</v>
      </c>
      <c r="I8" s="44">
        <v>1996.18679847</v>
      </c>
      <c r="J8">
        <v>2145</v>
      </c>
      <c r="K8">
        <v>60</v>
      </c>
      <c r="L8" s="44">
        <v>2205</v>
      </c>
      <c r="M8">
        <v>1285.0488751</v>
      </c>
      <c r="N8">
        <v>14.2</v>
      </c>
      <c r="O8" s="44">
        <v>1299.2488751000001</v>
      </c>
      <c r="P8">
        <v>1611.1161086099996</v>
      </c>
      <c r="Q8">
        <v>123.28000000000002</v>
      </c>
      <c r="R8" s="44">
        <v>1734.3961086099996</v>
      </c>
    </row>
    <row r="9" spans="2:18">
      <c r="B9" t="s">
        <v>14</v>
      </c>
      <c r="C9" t="s">
        <v>190</v>
      </c>
      <c r="D9">
        <v>27.90842292</v>
      </c>
      <c r="F9" s="44">
        <v>27.90842292</v>
      </c>
      <c r="I9" s="44"/>
      <c r="J9">
        <v>97.648990560000001</v>
      </c>
      <c r="L9" s="44">
        <v>97.648990560000001</v>
      </c>
      <c r="M9">
        <v>30</v>
      </c>
      <c r="N9">
        <v>0</v>
      </c>
      <c r="O9" s="44">
        <v>30</v>
      </c>
      <c r="P9">
        <v>100.5</v>
      </c>
      <c r="Q9">
        <v>0</v>
      </c>
      <c r="R9" s="44">
        <v>100.5</v>
      </c>
    </row>
    <row r="10" spans="2:18">
      <c r="B10" t="s">
        <v>15</v>
      </c>
      <c r="C10" t="s">
        <v>218</v>
      </c>
      <c r="D10">
        <v>189.79181718999999</v>
      </c>
      <c r="F10" s="44">
        <v>189.79181718999999</v>
      </c>
      <c r="H10">
        <v>3.25</v>
      </c>
      <c r="I10" s="44">
        <v>3.25</v>
      </c>
      <c r="J10">
        <v>569</v>
      </c>
      <c r="K10">
        <v>40</v>
      </c>
      <c r="L10" s="44">
        <v>609</v>
      </c>
      <c r="M10">
        <v>275.79999999999995</v>
      </c>
      <c r="N10">
        <v>0</v>
      </c>
      <c r="O10" s="44">
        <v>275.79999999999995</v>
      </c>
      <c r="P10">
        <v>477.15</v>
      </c>
      <c r="Q10">
        <v>0</v>
      </c>
      <c r="R10" s="44">
        <v>477.15</v>
      </c>
    </row>
    <row r="11" spans="2:18">
      <c r="B11" t="s">
        <v>20</v>
      </c>
      <c r="C11" t="s">
        <v>199</v>
      </c>
      <c r="D11">
        <v>9.932402699999999</v>
      </c>
      <c r="F11" s="44">
        <v>9.932402699999999</v>
      </c>
      <c r="I11" s="44"/>
      <c r="J11">
        <v>15</v>
      </c>
      <c r="L11" s="44">
        <v>15</v>
      </c>
      <c r="O11" s="44"/>
      <c r="P11">
        <v>31.789985556895303</v>
      </c>
      <c r="Q11">
        <v>0</v>
      </c>
      <c r="R11" s="44">
        <v>31.789985556895303</v>
      </c>
    </row>
    <row r="12" spans="2:18">
      <c r="B12" t="s">
        <v>22</v>
      </c>
      <c r="C12" t="s">
        <v>201</v>
      </c>
      <c r="D12">
        <v>52</v>
      </c>
      <c r="F12" s="44">
        <v>52</v>
      </c>
      <c r="G12">
        <v>42.109000000000002</v>
      </c>
      <c r="I12" s="44">
        <v>42.109000000000002</v>
      </c>
      <c r="J12">
        <v>15</v>
      </c>
      <c r="L12" s="44">
        <v>15</v>
      </c>
      <c r="M12">
        <v>65</v>
      </c>
      <c r="N12">
        <v>0</v>
      </c>
      <c r="O12" s="44">
        <v>65</v>
      </c>
      <c r="P12">
        <v>202.39999999999998</v>
      </c>
      <c r="Q12">
        <v>0</v>
      </c>
      <c r="R12" s="44">
        <v>202.39999999999998</v>
      </c>
    </row>
    <row r="13" spans="2:18">
      <c r="B13" t="s">
        <v>21</v>
      </c>
      <c r="C13" t="s">
        <v>200</v>
      </c>
      <c r="F13" s="44"/>
      <c r="G13">
        <v>6.5</v>
      </c>
      <c r="I13" s="44">
        <v>6.5</v>
      </c>
      <c r="L13" s="44"/>
      <c r="M13">
        <v>26</v>
      </c>
      <c r="N13">
        <v>0</v>
      </c>
      <c r="O13" s="44">
        <v>26</v>
      </c>
      <c r="P13">
        <v>34.26</v>
      </c>
      <c r="Q13">
        <v>0</v>
      </c>
      <c r="R13" s="44">
        <v>34.26</v>
      </c>
    </row>
    <row r="14" spans="2:18">
      <c r="B14" t="s">
        <v>23</v>
      </c>
      <c r="C14" t="s">
        <v>181</v>
      </c>
      <c r="D14">
        <v>199.02735877999999</v>
      </c>
      <c r="E14">
        <v>107</v>
      </c>
      <c r="F14" s="44">
        <v>306.02735877999999</v>
      </c>
      <c r="G14">
        <v>216.13940975</v>
      </c>
      <c r="I14" s="44">
        <v>216.13940975</v>
      </c>
      <c r="J14">
        <v>294.79138039999998</v>
      </c>
      <c r="L14" s="44">
        <v>294.79138039999998</v>
      </c>
      <c r="M14">
        <v>706.38003924999998</v>
      </c>
      <c r="N14">
        <v>29.112450829999997</v>
      </c>
      <c r="O14" s="44">
        <v>735.49249007999993</v>
      </c>
      <c r="P14">
        <v>535.63425784000015</v>
      </c>
      <c r="Q14">
        <v>24</v>
      </c>
      <c r="R14" s="44">
        <v>559.63425784000015</v>
      </c>
    </row>
    <row r="15" spans="2:18">
      <c r="B15" t="s">
        <v>25</v>
      </c>
      <c r="C15" t="s">
        <v>191</v>
      </c>
      <c r="D15">
        <v>1248</v>
      </c>
      <c r="E15">
        <v>539.10079936</v>
      </c>
      <c r="F15" s="44">
        <v>1787.1007993600001</v>
      </c>
      <c r="G15">
        <v>2755.5</v>
      </c>
      <c r="H15">
        <v>869.62011070000005</v>
      </c>
      <c r="I15" s="44">
        <v>3625.1201107000002</v>
      </c>
      <c r="J15">
        <v>3030.16</v>
      </c>
      <c r="K15">
        <v>499.62472527</v>
      </c>
      <c r="L15" s="44">
        <v>3529.7847252699999</v>
      </c>
      <c r="M15">
        <v>3180.04</v>
      </c>
      <c r="N15">
        <v>965.06323386000008</v>
      </c>
      <c r="O15" s="44">
        <v>4145.1032338599998</v>
      </c>
      <c r="P15">
        <v>3921.01</v>
      </c>
      <c r="Q15">
        <v>356.12290539159994</v>
      </c>
      <c r="R15" s="44">
        <v>4277.1329053915997</v>
      </c>
    </row>
    <row r="16" spans="2:18">
      <c r="B16" t="s">
        <v>26</v>
      </c>
      <c r="C16" t="s">
        <v>220</v>
      </c>
      <c r="D16">
        <v>1256.9000000000001</v>
      </c>
      <c r="E16">
        <v>400</v>
      </c>
      <c r="F16" s="44">
        <v>1656.9</v>
      </c>
      <c r="G16">
        <v>1900</v>
      </c>
      <c r="H16">
        <v>126.325</v>
      </c>
      <c r="I16" s="44">
        <v>2026.325</v>
      </c>
      <c r="J16">
        <v>1703</v>
      </c>
      <c r="K16">
        <v>382.14160599999997</v>
      </c>
      <c r="L16" s="44">
        <v>2085.1416060000001</v>
      </c>
      <c r="M16">
        <v>1487.75</v>
      </c>
      <c r="N16">
        <v>152.9</v>
      </c>
      <c r="O16" s="44">
        <v>1640.65</v>
      </c>
      <c r="P16">
        <v>3410.9154813450855</v>
      </c>
      <c r="Q16">
        <v>15.000000000000002</v>
      </c>
      <c r="R16" s="44">
        <v>3425.9154813450855</v>
      </c>
    </row>
    <row r="17" spans="2:18">
      <c r="B17" t="s">
        <v>28</v>
      </c>
      <c r="C17" t="s">
        <v>182</v>
      </c>
      <c r="D17">
        <v>240.3</v>
      </c>
      <c r="F17" s="44">
        <v>240.3</v>
      </c>
      <c r="G17">
        <v>213.49147517</v>
      </c>
      <c r="I17" s="44">
        <v>213.49147517</v>
      </c>
      <c r="K17">
        <v>120</v>
      </c>
      <c r="L17" s="44">
        <v>120</v>
      </c>
      <c r="M17">
        <v>97.643703270000003</v>
      </c>
      <c r="N17">
        <v>41.249353940000006</v>
      </c>
      <c r="O17" s="44">
        <v>138.89305720999999</v>
      </c>
      <c r="P17">
        <v>1230.5668145900004</v>
      </c>
      <c r="Q17">
        <v>0</v>
      </c>
      <c r="R17" s="44">
        <v>1230.5668145900004</v>
      </c>
    </row>
    <row r="18" spans="2:18">
      <c r="B18" t="s">
        <v>30</v>
      </c>
      <c r="C18" t="s">
        <v>183</v>
      </c>
      <c r="D18">
        <v>227.07007269000002</v>
      </c>
      <c r="F18" s="44">
        <v>227.07007269000002</v>
      </c>
      <c r="G18">
        <v>55</v>
      </c>
      <c r="I18" s="44">
        <v>55</v>
      </c>
      <c r="J18">
        <v>153.12</v>
      </c>
      <c r="L18" s="44">
        <v>153.12</v>
      </c>
      <c r="M18">
        <v>177.4</v>
      </c>
      <c r="N18">
        <v>0</v>
      </c>
      <c r="O18" s="44">
        <v>177.4</v>
      </c>
      <c r="P18">
        <v>72.999999999999986</v>
      </c>
      <c r="Q18">
        <v>0</v>
      </c>
      <c r="R18" s="44">
        <v>72.999999999999986</v>
      </c>
    </row>
    <row r="19" spans="2:18">
      <c r="B19" t="s">
        <v>29</v>
      </c>
      <c r="C19" t="s">
        <v>203</v>
      </c>
      <c r="D19">
        <v>14.200000000000001</v>
      </c>
      <c r="F19" s="44">
        <v>14.200000000000001</v>
      </c>
      <c r="G19">
        <v>7</v>
      </c>
      <c r="I19" s="44">
        <v>7</v>
      </c>
      <c r="J19">
        <v>24.1</v>
      </c>
      <c r="L19" s="44">
        <v>24.1</v>
      </c>
      <c r="O19" s="44"/>
      <c r="P19">
        <v>42.5</v>
      </c>
      <c r="Q19">
        <v>0</v>
      </c>
      <c r="R19" s="44">
        <v>42.5</v>
      </c>
    </row>
    <row r="20" spans="2:18">
      <c r="B20" t="s">
        <v>31</v>
      </c>
      <c r="C20" t="s">
        <v>221</v>
      </c>
      <c r="D20">
        <v>91.430550650000001</v>
      </c>
      <c r="F20" s="44">
        <v>91.430550650000001</v>
      </c>
      <c r="G20">
        <v>57.480818480000003</v>
      </c>
      <c r="I20" s="44">
        <v>57.480818480000003</v>
      </c>
      <c r="J20">
        <v>196</v>
      </c>
      <c r="L20" s="44">
        <v>196</v>
      </c>
      <c r="M20">
        <v>140</v>
      </c>
      <c r="N20">
        <v>0</v>
      </c>
      <c r="O20" s="44">
        <v>140</v>
      </c>
      <c r="P20">
        <v>20</v>
      </c>
      <c r="Q20">
        <v>0</v>
      </c>
      <c r="R20" s="44">
        <v>20</v>
      </c>
    </row>
    <row r="21" spans="2:18">
      <c r="B21" t="s">
        <v>33</v>
      </c>
      <c r="C21" t="s">
        <v>192</v>
      </c>
      <c r="D21">
        <v>9.69</v>
      </c>
      <c r="F21" s="44">
        <v>9.69</v>
      </c>
      <c r="I21" s="44"/>
      <c r="J21">
        <v>33.07</v>
      </c>
      <c r="L21" s="44">
        <v>33.07</v>
      </c>
      <c r="M21">
        <v>10</v>
      </c>
      <c r="N21">
        <v>0</v>
      </c>
      <c r="O21" s="44">
        <v>10</v>
      </c>
      <c r="P21">
        <v>135.42244028000005</v>
      </c>
      <c r="Q21">
        <v>0</v>
      </c>
      <c r="R21" s="44">
        <v>135.42244028000005</v>
      </c>
    </row>
    <row r="22" spans="2:18">
      <c r="B22" t="s">
        <v>268</v>
      </c>
      <c r="C22" t="s">
        <v>223</v>
      </c>
      <c r="D22">
        <v>240.14062367999998</v>
      </c>
      <c r="F22" s="44">
        <v>240.14062367999998</v>
      </c>
      <c r="G22">
        <v>185.49</v>
      </c>
      <c r="H22">
        <v>134.30099999999999</v>
      </c>
      <c r="I22" s="44">
        <v>319.791</v>
      </c>
      <c r="J22">
        <v>614.09999999999991</v>
      </c>
      <c r="K22">
        <v>10</v>
      </c>
      <c r="L22" s="44">
        <v>624.09999999999991</v>
      </c>
      <c r="M22">
        <v>246.20000000000002</v>
      </c>
      <c r="N22">
        <v>597.45655712999996</v>
      </c>
      <c r="O22" s="44">
        <v>843.65655713000001</v>
      </c>
      <c r="P22">
        <v>1115.07</v>
      </c>
      <c r="Q22">
        <v>0</v>
      </c>
      <c r="R22" s="44">
        <v>1115.07</v>
      </c>
    </row>
    <row r="23" spans="2:18">
      <c r="B23" t="s">
        <v>36</v>
      </c>
      <c r="C23" t="s">
        <v>205</v>
      </c>
      <c r="D23">
        <v>2</v>
      </c>
      <c r="F23" s="44">
        <v>2</v>
      </c>
      <c r="I23" s="44"/>
      <c r="J23">
        <v>36.299999999999997</v>
      </c>
      <c r="L23" s="44">
        <v>36.299999999999997</v>
      </c>
      <c r="M23">
        <v>22</v>
      </c>
      <c r="N23">
        <v>0</v>
      </c>
      <c r="O23" s="44">
        <v>22</v>
      </c>
      <c r="P23">
        <v>6</v>
      </c>
      <c r="Q23">
        <v>0</v>
      </c>
      <c r="R23" s="44">
        <v>6</v>
      </c>
    </row>
    <row r="24" spans="2:18">
      <c r="B24" t="s">
        <v>38</v>
      </c>
      <c r="C24" t="s">
        <v>206</v>
      </c>
      <c r="F24" s="44"/>
      <c r="I24" s="44"/>
      <c r="L24" s="44"/>
      <c r="O24" s="44"/>
      <c r="P24">
        <v>0.49999999999999994</v>
      </c>
      <c r="Q24">
        <v>0</v>
      </c>
      <c r="R24" s="44">
        <v>0.49999999999999994</v>
      </c>
    </row>
    <row r="25" spans="2:18">
      <c r="B25" t="s">
        <v>37</v>
      </c>
      <c r="C25" t="s">
        <v>193</v>
      </c>
      <c r="D25">
        <v>115.58579739</v>
      </c>
      <c r="F25" s="44">
        <v>115.58579739</v>
      </c>
      <c r="G25">
        <v>509.85323789999995</v>
      </c>
      <c r="I25" s="44">
        <v>509.85323789999995</v>
      </c>
      <c r="J25">
        <v>592.20639956000002</v>
      </c>
      <c r="L25" s="44">
        <v>592.20639956000002</v>
      </c>
      <c r="M25">
        <v>358</v>
      </c>
      <c r="N25">
        <v>30</v>
      </c>
      <c r="O25" s="44">
        <v>388</v>
      </c>
      <c r="P25">
        <v>858.99999999999989</v>
      </c>
      <c r="Q25">
        <v>0</v>
      </c>
      <c r="R25" s="44">
        <v>858.99999999999989</v>
      </c>
    </row>
    <row r="26" spans="2:18">
      <c r="B26" t="s">
        <v>39</v>
      </c>
      <c r="C26" t="s">
        <v>184</v>
      </c>
      <c r="D26">
        <f>1577.68740497-9.7</f>
        <v>1567.9874049699999</v>
      </c>
      <c r="F26" s="44">
        <f>1577.68740497-9.7</f>
        <v>1567.9874049699999</v>
      </c>
      <c r="G26">
        <v>2023.3050000000001</v>
      </c>
      <c r="H26">
        <v>86</v>
      </c>
      <c r="I26" s="44">
        <v>2109.3050000000003</v>
      </c>
      <c r="J26">
        <v>1054.6300000000001</v>
      </c>
      <c r="L26" s="44">
        <v>1054.6300000000001</v>
      </c>
      <c r="M26">
        <v>2182</v>
      </c>
      <c r="N26">
        <v>15</v>
      </c>
      <c r="O26" s="44">
        <v>2197</v>
      </c>
      <c r="P26">
        <v>1735.32</v>
      </c>
      <c r="Q26">
        <v>0</v>
      </c>
      <c r="R26" s="44">
        <v>1735.32</v>
      </c>
    </row>
    <row r="27" spans="2:18">
      <c r="B27" t="s">
        <v>41</v>
      </c>
      <c r="C27" t="s">
        <v>207</v>
      </c>
      <c r="D27">
        <v>24.795909279999996</v>
      </c>
      <c r="F27" s="44">
        <v>24.795909279999996</v>
      </c>
      <c r="I27" s="44"/>
      <c r="J27">
        <v>15</v>
      </c>
      <c r="L27" s="44">
        <v>15</v>
      </c>
      <c r="O27" s="44"/>
      <c r="P27">
        <v>45.999999999999986</v>
      </c>
      <c r="Q27">
        <v>0</v>
      </c>
      <c r="R27" s="44">
        <v>45.999999999999986</v>
      </c>
    </row>
    <row r="28" spans="2:18">
      <c r="B28" t="s">
        <v>43</v>
      </c>
      <c r="C28" t="s">
        <v>224</v>
      </c>
      <c r="D28">
        <v>833.3</v>
      </c>
      <c r="E28">
        <v>205.86694605000002</v>
      </c>
      <c r="F28" s="44">
        <v>1039.16694605</v>
      </c>
      <c r="G28">
        <v>700</v>
      </c>
      <c r="I28" s="44">
        <v>700</v>
      </c>
      <c r="J28">
        <v>1380</v>
      </c>
      <c r="L28" s="44">
        <v>1380</v>
      </c>
      <c r="M28">
        <v>2523.3000000000002</v>
      </c>
      <c r="N28">
        <v>30</v>
      </c>
      <c r="O28" s="44">
        <v>2553.3000000000002</v>
      </c>
      <c r="P28">
        <v>4208.3473611400004</v>
      </c>
      <c r="Q28">
        <v>0</v>
      </c>
      <c r="R28" s="44">
        <v>4208.3473611400004</v>
      </c>
    </row>
    <row r="29" spans="2:18">
      <c r="B29" t="s">
        <v>42</v>
      </c>
      <c r="C29" t="s">
        <v>208</v>
      </c>
      <c r="D29">
        <v>108.80007656000001</v>
      </c>
      <c r="F29" s="44">
        <v>108.80007656000001</v>
      </c>
      <c r="G29">
        <v>611.45292743000005</v>
      </c>
      <c r="I29" s="44">
        <v>611.45292743000005</v>
      </c>
      <c r="J29">
        <v>196</v>
      </c>
      <c r="L29" s="44">
        <v>196</v>
      </c>
      <c r="M29">
        <v>100</v>
      </c>
      <c r="N29">
        <v>10</v>
      </c>
      <c r="O29" s="44">
        <v>110</v>
      </c>
      <c r="P29">
        <v>534.00000000000011</v>
      </c>
      <c r="Q29">
        <v>0</v>
      </c>
      <c r="R29" s="44">
        <v>534.00000000000011</v>
      </c>
    </row>
    <row r="30" spans="2:18">
      <c r="B30" t="s">
        <v>18</v>
      </c>
      <c r="C30" t="s">
        <v>196</v>
      </c>
      <c r="D30">
        <v>1329</v>
      </c>
      <c r="E30">
        <v>387.62332615000003</v>
      </c>
      <c r="F30" s="44">
        <v>1716.6233261500001</v>
      </c>
      <c r="G30">
        <v>2134.65473746</v>
      </c>
      <c r="H30">
        <v>218.12517256000001</v>
      </c>
      <c r="I30" s="44">
        <v>2352.77991002</v>
      </c>
      <c r="J30">
        <v>1815.5814513600001</v>
      </c>
      <c r="K30">
        <v>808.47343699999999</v>
      </c>
      <c r="L30" s="44">
        <v>2624.0548883599999</v>
      </c>
      <c r="M30">
        <v>1813.5894638899999</v>
      </c>
      <c r="N30">
        <v>380.99642858999999</v>
      </c>
      <c r="O30" s="44">
        <v>2194.58589248</v>
      </c>
      <c r="P30">
        <v>2012.5476594899999</v>
      </c>
      <c r="Q30">
        <v>405.72286401000002</v>
      </c>
      <c r="R30" s="44">
        <v>2418.2705234999999</v>
      </c>
    </row>
    <row r="31" spans="2:18">
      <c r="B31" t="s">
        <v>156</v>
      </c>
      <c r="C31" t="s">
        <v>227</v>
      </c>
      <c r="D31">
        <v>15.05177383</v>
      </c>
      <c r="E31">
        <v>65.900000000000006</v>
      </c>
      <c r="F31" s="44">
        <v>80.951773830000008</v>
      </c>
      <c r="H31">
        <v>171.21524397000002</v>
      </c>
      <c r="I31" s="44">
        <v>171.21524397000002</v>
      </c>
      <c r="K31">
        <v>403</v>
      </c>
      <c r="L31" s="44">
        <v>403</v>
      </c>
      <c r="M31">
        <v>0</v>
      </c>
      <c r="N31">
        <v>162.5</v>
      </c>
      <c r="O31" s="44">
        <v>162.5</v>
      </c>
      <c r="P31">
        <v>0</v>
      </c>
      <c r="Q31">
        <v>278.75</v>
      </c>
      <c r="R31" s="44">
        <v>278.75</v>
      </c>
    </row>
    <row r="32" spans="2:18">
      <c r="B32" t="s">
        <v>34</v>
      </c>
      <c r="C32" t="s">
        <v>204</v>
      </c>
      <c r="D32">
        <v>0.2</v>
      </c>
      <c r="F32" s="44">
        <v>0.2</v>
      </c>
      <c r="G32">
        <v>10.5</v>
      </c>
      <c r="I32" s="44">
        <v>10.5</v>
      </c>
      <c r="J32">
        <v>12.7</v>
      </c>
      <c r="L32" s="44">
        <v>12.7</v>
      </c>
      <c r="M32">
        <v>6.5</v>
      </c>
      <c r="N32">
        <v>0</v>
      </c>
      <c r="O32" s="44">
        <v>6.5</v>
      </c>
      <c r="P32">
        <v>37.5</v>
      </c>
      <c r="Q32">
        <v>0</v>
      </c>
      <c r="R32" s="44">
        <v>37.5</v>
      </c>
    </row>
    <row r="33" spans="2:18">
      <c r="B33" t="s">
        <v>44</v>
      </c>
      <c r="C33" t="s">
        <v>209</v>
      </c>
      <c r="F33" s="44"/>
      <c r="G33">
        <v>11</v>
      </c>
      <c r="H33">
        <v>2</v>
      </c>
      <c r="I33" s="44">
        <v>13</v>
      </c>
      <c r="J33">
        <v>3</v>
      </c>
      <c r="L33" s="44">
        <v>3</v>
      </c>
      <c r="M33">
        <v>69.759999999999991</v>
      </c>
      <c r="N33">
        <v>0</v>
      </c>
      <c r="O33" s="44">
        <v>69.759999999999991</v>
      </c>
      <c r="P33">
        <v>71.5</v>
      </c>
      <c r="Q33">
        <v>0</v>
      </c>
      <c r="R33" s="44">
        <v>71.5</v>
      </c>
    </row>
    <row r="34" spans="2:18">
      <c r="B34" t="s">
        <v>45</v>
      </c>
      <c r="C34" t="s">
        <v>210</v>
      </c>
      <c r="D34">
        <v>26.11070402</v>
      </c>
      <c r="F34" s="44">
        <v>26.11070402</v>
      </c>
      <c r="G34">
        <v>2.2400000000000002</v>
      </c>
      <c r="I34" s="44">
        <v>2.2400000000000002</v>
      </c>
      <c r="J34">
        <v>11</v>
      </c>
      <c r="L34" s="44">
        <v>11</v>
      </c>
      <c r="M34">
        <v>76</v>
      </c>
      <c r="N34">
        <v>0</v>
      </c>
      <c r="O34" s="44">
        <v>76</v>
      </c>
      <c r="P34">
        <v>26.499999999999996</v>
      </c>
      <c r="Q34">
        <v>0</v>
      </c>
      <c r="R34" s="44">
        <v>26.499999999999996</v>
      </c>
    </row>
    <row r="35" spans="2:18">
      <c r="B35" t="s">
        <v>46</v>
      </c>
      <c r="C35" t="s">
        <v>194</v>
      </c>
      <c r="D35">
        <v>828.95724519999999</v>
      </c>
      <c r="E35">
        <v>30</v>
      </c>
      <c r="F35" s="44">
        <v>858.95724519999999</v>
      </c>
      <c r="G35">
        <v>623.29999999999995</v>
      </c>
      <c r="H35">
        <v>4</v>
      </c>
      <c r="I35" s="44">
        <v>627.29999999999995</v>
      </c>
      <c r="J35">
        <v>485</v>
      </c>
      <c r="K35">
        <v>35</v>
      </c>
      <c r="L35" s="44">
        <v>520</v>
      </c>
      <c r="M35">
        <v>815</v>
      </c>
      <c r="N35">
        <v>0</v>
      </c>
      <c r="O35" s="44">
        <v>815</v>
      </c>
      <c r="P35">
        <v>568</v>
      </c>
      <c r="Q35">
        <v>0</v>
      </c>
      <c r="R35" s="44">
        <v>568</v>
      </c>
    </row>
    <row r="36" spans="2:18">
      <c r="B36" t="s">
        <v>47</v>
      </c>
      <c r="C36" t="s">
        <v>185</v>
      </c>
      <c r="D36">
        <v>88.903736869999989</v>
      </c>
      <c r="F36" s="44">
        <v>88.903736869999989</v>
      </c>
      <c r="G36">
        <v>49.600822199999996</v>
      </c>
      <c r="I36" s="44">
        <v>49.600822199999996</v>
      </c>
      <c r="J36">
        <v>214.68</v>
      </c>
      <c r="L36" s="44">
        <v>214.68</v>
      </c>
      <c r="M36">
        <v>120</v>
      </c>
      <c r="N36">
        <v>0</v>
      </c>
      <c r="O36" s="44">
        <v>120</v>
      </c>
      <c r="P36">
        <v>319.98999999999995</v>
      </c>
      <c r="Q36">
        <v>0</v>
      </c>
      <c r="R36" s="44">
        <v>319.98999999999995</v>
      </c>
    </row>
    <row r="37" spans="2:18">
      <c r="B37" t="s">
        <v>48</v>
      </c>
      <c r="C37" t="s">
        <v>225</v>
      </c>
      <c r="F37" s="44"/>
      <c r="H37">
        <v>65.879510799999991</v>
      </c>
      <c r="I37" s="44">
        <v>65.879510799999991</v>
      </c>
      <c r="J37">
        <v>99.4</v>
      </c>
      <c r="K37">
        <v>415.59935332374278</v>
      </c>
      <c r="L37" s="44">
        <v>514.99935332374275</v>
      </c>
      <c r="M37">
        <v>0</v>
      </c>
      <c r="N37">
        <v>459.13462167</v>
      </c>
      <c r="O37" s="44">
        <v>459.13462167</v>
      </c>
      <c r="P37">
        <v>1500</v>
      </c>
      <c r="Q37">
        <v>57.698672439999996</v>
      </c>
      <c r="R37" s="44">
        <v>1557.6986724399999</v>
      </c>
    </row>
    <row r="38" spans="2:18">
      <c r="B38" t="s">
        <v>269</v>
      </c>
      <c r="C38" t="s">
        <v>211</v>
      </c>
      <c r="D38">
        <v>125.55725688</v>
      </c>
      <c r="F38" s="44">
        <v>125.55725688</v>
      </c>
      <c r="I38" s="44"/>
      <c r="J38">
        <v>44</v>
      </c>
      <c r="L38" s="44">
        <v>44</v>
      </c>
      <c r="O38" s="44"/>
      <c r="P38">
        <v>1</v>
      </c>
      <c r="Q38">
        <v>0</v>
      </c>
      <c r="R38" s="44">
        <v>1</v>
      </c>
    </row>
    <row r="39" spans="2:18">
      <c r="B39" t="s">
        <v>51</v>
      </c>
      <c r="C39" t="s">
        <v>186</v>
      </c>
      <c r="F39" s="44"/>
      <c r="I39" s="44"/>
      <c r="J39">
        <v>500</v>
      </c>
      <c r="L39" s="44">
        <v>500</v>
      </c>
      <c r="O39" s="44"/>
      <c r="P39">
        <v>0</v>
      </c>
      <c r="Q39">
        <v>0</v>
      </c>
      <c r="R39" s="44">
        <v>0</v>
      </c>
    </row>
    <row r="40" spans="2:18">
      <c r="B40" t="s">
        <v>50</v>
      </c>
      <c r="C40" t="s">
        <v>214</v>
      </c>
      <c r="D40">
        <v>5.9855187500000007</v>
      </c>
      <c r="F40" s="44">
        <v>5.9855187500000007</v>
      </c>
      <c r="G40">
        <v>16.010847720000001</v>
      </c>
      <c r="I40" s="44">
        <v>16.010847720000001</v>
      </c>
      <c r="J40">
        <v>17.149999999999999</v>
      </c>
      <c r="L40" s="44">
        <v>17.149999999999999</v>
      </c>
      <c r="M40">
        <v>53.974999999999994</v>
      </c>
      <c r="N40">
        <v>0</v>
      </c>
      <c r="O40" s="44">
        <v>53.974999999999994</v>
      </c>
      <c r="P40">
        <v>22.869999999999994</v>
      </c>
      <c r="Q40">
        <v>0</v>
      </c>
      <c r="R40" s="44">
        <v>22.869999999999994</v>
      </c>
    </row>
    <row r="41" spans="2:18">
      <c r="B41" t="s">
        <v>52</v>
      </c>
      <c r="C41" t="s">
        <v>215</v>
      </c>
      <c r="F41" s="44"/>
      <c r="G41">
        <v>14.3</v>
      </c>
      <c r="I41" s="44">
        <v>14.3</v>
      </c>
      <c r="J41">
        <v>17.920000000000002</v>
      </c>
      <c r="L41" s="44">
        <v>17.920000000000002</v>
      </c>
      <c r="M41">
        <v>10</v>
      </c>
      <c r="N41">
        <v>0</v>
      </c>
      <c r="O41" s="44">
        <v>10</v>
      </c>
      <c r="P41">
        <v>8.9999999999999964</v>
      </c>
      <c r="Q41">
        <v>0</v>
      </c>
      <c r="R41" s="44">
        <v>8.9999999999999964</v>
      </c>
    </row>
    <row r="42" spans="2:18">
      <c r="B42" t="s">
        <v>53</v>
      </c>
      <c r="C42" t="s">
        <v>187</v>
      </c>
      <c r="D42">
        <v>150</v>
      </c>
      <c r="F42" s="44">
        <v>150</v>
      </c>
      <c r="G42">
        <v>1146.23539458</v>
      </c>
      <c r="I42" s="44">
        <v>1146.23539458</v>
      </c>
      <c r="J42">
        <v>1138</v>
      </c>
      <c r="L42" s="44">
        <v>1138</v>
      </c>
      <c r="M42">
        <v>1137.3</v>
      </c>
      <c r="N42">
        <v>0</v>
      </c>
      <c r="O42" s="44">
        <v>1137.3</v>
      </c>
      <c r="P42">
        <v>1197.2000000000003</v>
      </c>
      <c r="Q42">
        <v>10</v>
      </c>
      <c r="R42" s="44">
        <v>1207.2000000000003</v>
      </c>
    </row>
    <row r="43" spans="2:18">
      <c r="B43" t="s">
        <v>54</v>
      </c>
      <c r="C43" t="s">
        <v>216</v>
      </c>
      <c r="D43">
        <v>13.547639500000001</v>
      </c>
      <c r="F43" s="44">
        <v>13.547639500000001</v>
      </c>
      <c r="G43">
        <v>13.49884428</v>
      </c>
      <c r="I43" s="44">
        <v>13.49884428</v>
      </c>
      <c r="J43">
        <v>0.5</v>
      </c>
      <c r="L43" s="44">
        <v>0.5</v>
      </c>
      <c r="M43">
        <v>14.25</v>
      </c>
      <c r="N43">
        <v>0</v>
      </c>
      <c r="O43" s="44">
        <v>14.25</v>
      </c>
      <c r="P43">
        <v>34.065000000000005</v>
      </c>
      <c r="Q43">
        <v>0</v>
      </c>
      <c r="R43" s="44">
        <v>34.065000000000005</v>
      </c>
    </row>
    <row r="44" spans="2:18">
      <c r="B44" t="s">
        <v>55</v>
      </c>
      <c r="C44" t="s">
        <v>226</v>
      </c>
      <c r="D44">
        <v>468.14499751000005</v>
      </c>
      <c r="F44" s="44">
        <v>468.14499751000005</v>
      </c>
      <c r="G44">
        <v>865.86565352000002</v>
      </c>
      <c r="I44" s="44">
        <v>865.86565352000002</v>
      </c>
      <c r="J44">
        <v>569.29999999999995</v>
      </c>
      <c r="K44">
        <v>300</v>
      </c>
      <c r="L44" s="44">
        <v>869.3</v>
      </c>
      <c r="M44">
        <v>588.96</v>
      </c>
      <c r="N44">
        <v>17.600000000000001</v>
      </c>
      <c r="O44" s="44">
        <v>606.56000000000006</v>
      </c>
      <c r="P44">
        <v>2.5</v>
      </c>
      <c r="Q44">
        <v>75.199999999999989</v>
      </c>
      <c r="R44" s="44">
        <v>77.699999999999989</v>
      </c>
    </row>
    <row r="45" spans="2:18" ht="15">
      <c r="C45" s="46" t="s">
        <v>228</v>
      </c>
      <c r="D45" s="45">
        <f>SUM(D4:D44)</f>
        <v>11502.403590480002</v>
      </c>
      <c r="E45" s="45">
        <v>1750.4910715600004</v>
      </c>
      <c r="F45" s="45">
        <f>SUM(F4:F44)</f>
        <v>13252.89466204</v>
      </c>
      <c r="G45" s="45">
        <v>17402.726554139997</v>
      </c>
      <c r="H45" s="45">
        <v>2286.7160380300002</v>
      </c>
      <c r="I45" s="45">
        <v>19689.442592169999</v>
      </c>
      <c r="J45" s="45">
        <v>18445.53822188</v>
      </c>
      <c r="K45" s="45">
        <v>3135.8391215937427</v>
      </c>
      <c r="L45" s="45">
        <v>21581.377343473741</v>
      </c>
      <c r="M45" s="45">
        <v>18642.610509539994</v>
      </c>
      <c r="N45" s="45">
        <v>3000.0554440999999</v>
      </c>
      <c r="O45" s="45">
        <v>21642.665953639993</v>
      </c>
      <c r="P45" s="45">
        <v>26825.638442536085</v>
      </c>
      <c r="Q45" s="45">
        <v>1405.8916437616001</v>
      </c>
      <c r="R45" s="45">
        <v>28231.530086297684</v>
      </c>
    </row>
  </sheetData>
  <pageMargins left="0.7" right="0.7" top="0.75" bottom="0.75" header="0.3" footer="0.3"/>
  <pageSetup orientation="portrait" horizontalDpi="4294967293" verticalDpi="0" r:id="rId1"/>
  <headerFooter>
    <oddFooter>&amp;L&amp;1#&amp;"Calibri"&amp;9&amp;K000000INTERNAL.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6FC0-7122-46CC-A6CA-0050AA9A0D56}">
  <dimension ref="A1:N63"/>
  <sheetViews>
    <sheetView topLeftCell="B1" zoomScale="80" zoomScaleNormal="80" workbookViewId="0">
      <selection activeCell="B1" sqref="B1"/>
    </sheetView>
  </sheetViews>
  <sheetFormatPr defaultColWidth="9.140625" defaultRowHeight="14.25"/>
  <cols>
    <col min="1" max="1" width="9.140625" style="3" hidden="1" customWidth="1"/>
    <col min="2" max="2" width="9.140625" style="3" customWidth="1"/>
    <col min="3" max="3" width="32.7109375" style="3" customWidth="1"/>
    <col min="4" max="5" width="14.28515625" style="3" customWidth="1"/>
    <col min="6" max="6" width="15.85546875" style="3" customWidth="1"/>
    <col min="7" max="7" width="15.42578125" style="3" customWidth="1"/>
    <col min="8" max="10" width="14.28515625" style="3" customWidth="1"/>
    <col min="11" max="11" width="15.85546875" style="3" customWidth="1"/>
    <col min="12" max="12" width="15.140625" style="3" customWidth="1"/>
    <col min="13" max="14" width="14.28515625" style="3" customWidth="1"/>
    <col min="15" max="15" width="9.140625" style="3" customWidth="1"/>
    <col min="16" max="16384" width="9.140625" style="3"/>
  </cols>
  <sheetData>
    <row r="1" spans="1:14" ht="3" customHeight="1"/>
    <row r="2" spans="1:14" ht="14.25" customHeight="1">
      <c r="C2" s="146" t="s">
        <v>157</v>
      </c>
      <c r="D2" s="154" t="s">
        <v>270</v>
      </c>
      <c r="E2" s="154"/>
      <c r="F2" s="154"/>
      <c r="G2" s="154"/>
      <c r="H2" s="154"/>
      <c r="I2" s="154" t="s">
        <v>271</v>
      </c>
      <c r="J2" s="154"/>
      <c r="K2" s="154"/>
      <c r="L2" s="154"/>
      <c r="M2" s="154"/>
      <c r="N2" s="153" t="s">
        <v>4</v>
      </c>
    </row>
    <row r="3" spans="1:14" ht="15" customHeight="1">
      <c r="C3" s="146"/>
      <c r="D3" s="157" t="s">
        <v>272</v>
      </c>
      <c r="E3" s="158"/>
      <c r="F3" s="159"/>
      <c r="G3" s="148" t="s">
        <v>273</v>
      </c>
      <c r="H3" s="146" t="s">
        <v>274</v>
      </c>
      <c r="I3" s="157" t="s">
        <v>272</v>
      </c>
      <c r="J3" s="158"/>
      <c r="K3" s="159"/>
      <c r="L3" s="148" t="s">
        <v>273</v>
      </c>
      <c r="M3" s="146" t="s">
        <v>275</v>
      </c>
      <c r="N3" s="153"/>
    </row>
    <row r="4" spans="1:14" ht="15" customHeight="1">
      <c r="C4" s="146"/>
      <c r="D4" s="160"/>
      <c r="E4" s="161"/>
      <c r="F4" s="162"/>
      <c r="G4" s="148"/>
      <c r="H4" s="146"/>
      <c r="I4" s="160"/>
      <c r="J4" s="161"/>
      <c r="K4" s="162"/>
      <c r="L4" s="148"/>
      <c r="M4" s="146"/>
      <c r="N4" s="153"/>
    </row>
    <row r="5" spans="1:14" ht="15" customHeight="1">
      <c r="C5" s="146"/>
      <c r="D5" s="155" t="s">
        <v>276</v>
      </c>
      <c r="E5" s="155" t="s">
        <v>277</v>
      </c>
      <c r="F5" s="147" t="s">
        <v>278</v>
      </c>
      <c r="G5" s="148"/>
      <c r="H5" s="146"/>
      <c r="I5" s="155" t="s">
        <v>276</v>
      </c>
      <c r="J5" s="155" t="s">
        <v>277</v>
      </c>
      <c r="K5" s="147" t="s">
        <v>278</v>
      </c>
      <c r="L5" s="148"/>
      <c r="M5" s="146"/>
      <c r="N5" s="153"/>
    </row>
    <row r="6" spans="1:14" ht="15" customHeight="1">
      <c r="C6" s="146"/>
      <c r="D6" s="156"/>
      <c r="E6" s="156"/>
      <c r="F6" s="149"/>
      <c r="G6" s="149"/>
      <c r="H6" s="146"/>
      <c r="I6" s="156"/>
      <c r="J6" s="156"/>
      <c r="K6" s="149"/>
      <c r="L6" s="149"/>
      <c r="M6" s="146"/>
      <c r="N6" s="153"/>
    </row>
    <row r="7" spans="1:14" ht="15">
      <c r="C7" s="6" t="s">
        <v>173</v>
      </c>
      <c r="D7" s="7" t="e">
        <f>SUM(D8:D17)</f>
        <v>#REF!</v>
      </c>
      <c r="E7" s="7" t="e">
        <f>SUM(E8:E17)</f>
        <v>#REF!</v>
      </c>
      <c r="F7" s="7" t="e">
        <f>SUM(F8:F17)</f>
        <v>#REF!</v>
      </c>
      <c r="G7" s="7" t="e">
        <f>SUM(G8:G17)</f>
        <v>#REF!</v>
      </c>
      <c r="H7" s="7" t="e">
        <f>SUM(D7:G7)</f>
        <v>#REF!</v>
      </c>
      <c r="I7" s="7" t="e">
        <f>SUM(I8:I17)</f>
        <v>#REF!</v>
      </c>
      <c r="J7" s="7" t="e">
        <f>SUM(J8:J17)</f>
        <v>#REF!</v>
      </c>
      <c r="K7" s="7" t="e">
        <f>SUM(K8:K17)</f>
        <v>#REF!</v>
      </c>
      <c r="L7" s="7" t="e">
        <f>SUM(L8:L17)</f>
        <v>#REF!</v>
      </c>
      <c r="M7" s="7" t="e">
        <f>SUM(I7:L7)</f>
        <v>#REF!</v>
      </c>
      <c r="N7" s="7" t="e">
        <f>M7+H7</f>
        <v>#REF!</v>
      </c>
    </row>
    <row r="8" spans="1:14" ht="16.5">
      <c r="A8" s="3" t="s">
        <v>178</v>
      </c>
      <c r="C8" s="9" t="s">
        <v>279</v>
      </c>
      <c r="D8" s="10" t="e">
        <f>SUMIFS(#REF!,#REF!,"2022",#REF!,'App. 3 (Comm)'!$A8,#REF!,"Asia Pacific Vaccine Access Facility",#REF!,"ADB")+SUMIFS(#REF!,#REF!,"2022",#REF!,'App. 3 (Comm)'!$A8,#REF!,"Asia Pacific Vaccine Access Facility",#REF!,"Special Fund")</f>
        <v>#REF!</v>
      </c>
      <c r="E8" s="10" t="e">
        <f>SUMIFS(#REF!,#REF!,"2022",#REF!,'App. 3 (Comm)'!$A8,#REF!,"COVID19 Pandemic Response Option",#REF!,"ADB")+SUMIFS(#REF!,#REF!,"2022",#REF!,'App. 3 (Comm)'!$A8,#REF!,"COVID19 Pandemic Response Option",#REF!,"Special Fund")</f>
        <v>#REF!</v>
      </c>
      <c r="F8" s="10" t="e">
        <f>SUMIFS(#REF!,#REF!,"2022",#REF!,'App. 3 (Comm)'!$A8,#REF!,"ADB")+SUMIFS(#REF!,#REF!,"2022",#REF!,'App. 3 (Comm)'!$A8,#REF!,"Special Fund")+SUMIFS(#REF!,#REF!,"2022",#REF!,'App. 3 (Comm)'!$A8,#REF!,"TFP (LT)",#REF!,"Revolving Programs")+SUMIFS(#REF!,#REF!,"2022",#REF!,'App. 3 (Comm)'!$A8,#REF!,"MFP (LT)",#REF!,"Revolving Programs")+SUMIFS(#REF!,#REF!,"2022",#REF!,'App. 3 (Comm)'!$A8,#REF!,"SCFP (LT)",#REF!,"Revolving Programs")-E8-D8+SUMIFS(#REF!,#REF!,"2022",#REF!,'App. 3 (Comm)'!$A8,#REF!,"TFP (ST)",#REF!,"Revolving Programs")+SUMIFS(#REF!,#REF!,"2022",#REF!,'App. 3 (Comm)'!$A8,#REF!,"MFP (ST)",#REF!,"Revolving Programs")+SUMIFS(#REF!,#REF!,"2022",#REF!,'App. 3 (Comm)'!$A8,#REF!,"SCFP (ST)",#REF!,"Revolving Programs")</f>
        <v>#REF!</v>
      </c>
      <c r="G8" s="10" t="e">
        <f>SUMIFS(#REF!,#REF!,"2022",#REF!,'App. 3 (Comm)'!$A8,#REF!,"ADB")+SUMIFS(#REF!,#REF!,"2022",#REF!,'App. 3 (Comm)'!$A8,#REF!,"Special Fund")+SUMIFS(#REF!,#REF!,"2022",#REF!,'App. 3 (Comm)'!$A8,#REF!,"TFP (LT)",#REF!,"Revolving Programs")+SUMIFS(#REF!,#REF!,"2022",#REF!,'App. 3 (Comm)'!$A8,#REF!,"MFP (LT)",#REF!,"Revolving Programs")+SUMIFS(#REF!,#REF!,"2022",#REF!,'App. 3 (Comm)'!$A8,#REF!,"SCFP (LT)",#REF!,"Revolving Programs")+SUMIFS(#REF!,#REF!,"2022",#REF!,'App. 3 (Comm)'!$A8,#REF!,"TFP (ST)",#REF!,"Revolving Programs")+SUMIFS(#REF!,#REF!,"2022",#REF!,'App. 3 (Comm)'!$A8,#REF!,"MFP (ST)",#REF!,"Revolving Programs")+SUMIFS(#REF!,#REF!,"2022",#REF!,'App. 3 (Comm)'!$A8,#REF!,"SCFP (ST)",#REF!,"Revolving Programs")</f>
        <v>#REF!</v>
      </c>
      <c r="H8" s="11" t="e">
        <f t="shared" ref="H8:H60" si="0">SUM(D8:G8)</f>
        <v>#REF!</v>
      </c>
      <c r="I8" s="11" t="e">
        <f>SUMIFS(#REF!,#REF!,"2022",#REF!,'App. 3 (Comm)'!$A8,#REF!,"Asia Pacific Vaccine Access Facility")-D8</f>
        <v>#REF!</v>
      </c>
      <c r="J8" s="11" t="e">
        <f>SUMIFS(#REF!,#REF!,"2022",#REF!,'App. 3 (Comm)'!$A8,#REF!,"COVID19 Pandemic Response Option")-E8</f>
        <v>#REF!</v>
      </c>
      <c r="K8" s="10" t="e">
        <f>SUMIFS(#REF!,#REF!,"2022",#REF!,'App. 3 (Comm)'!$A8)-J8-I8-E8-D8-F8-SUMIFS(#REF!,#REF!,"MFF-ADB",#REF!,"2022",#REF!,'App. 3 (Comm)'!$A8)</f>
        <v>#REF!</v>
      </c>
      <c r="L8" s="10" t="e">
        <f>SUMIFS(#REF!,#REF!,"2022",#REF!,'App. 3 (Comm)'!$A8)-G8-SUMIFS(#REF!,#REF!,"MFF-ADB",#REF!,"2022",#REF!,'App. 3 (Comm)'!$A8)-SUMIFS(#REF!,#REF!,"MFF-Official",#REF!,"2022",#REF!,'App. 3 (Comm)'!$A8)</f>
        <v>#REF!</v>
      </c>
      <c r="M8" s="10" t="e">
        <f>SUM(I8:L8)</f>
        <v>#REF!</v>
      </c>
      <c r="N8" s="10" t="e">
        <f t="shared" ref="N8:N59" si="1">M8+H8</f>
        <v>#REF!</v>
      </c>
    </row>
    <row r="9" spans="1:14">
      <c r="A9" s="3" t="s">
        <v>179</v>
      </c>
      <c r="C9" s="9" t="s">
        <v>7</v>
      </c>
      <c r="D9" s="10" t="e">
        <f>SUMIFS(#REF!,#REF!,"2022",#REF!,'App. 3 (Comm)'!$A9,#REF!,"Asia Pacific Vaccine Access Facility",#REF!,"ADB")+SUMIFS(#REF!,#REF!,"2022",#REF!,'App. 3 (Comm)'!$A9,#REF!,"Asia Pacific Vaccine Access Facility",#REF!,"Special Fund")</f>
        <v>#REF!</v>
      </c>
      <c r="E9" s="10" t="e">
        <f>SUMIFS(#REF!,#REF!,"2022",#REF!,'App. 3 (Comm)'!$A9,#REF!,"COVID19 Pandemic Response Option",#REF!,"ADB")+SUMIFS(#REF!,#REF!,"2022",#REF!,'App. 3 (Comm)'!$A9,#REF!,"COVID19 Pandemic Response Option",#REF!,"Special Fund")</f>
        <v>#REF!</v>
      </c>
      <c r="F9" s="10" t="e">
        <f>SUMIFS(#REF!,#REF!,"2022",#REF!,'App. 3 (Comm)'!$A9,#REF!,"ADB")+SUMIFS(#REF!,#REF!,"2022",#REF!,'App. 3 (Comm)'!$A9,#REF!,"Special Fund")+SUMIFS(#REF!,#REF!,"2022",#REF!,'App. 3 (Comm)'!$A9,#REF!,"TFP (LT)",#REF!,"Revolving Programs")+SUMIFS(#REF!,#REF!,"2022",#REF!,'App. 3 (Comm)'!$A9,#REF!,"MFP (LT)",#REF!,"Revolving Programs")+SUMIFS(#REF!,#REF!,"2022",#REF!,'App. 3 (Comm)'!$A9,#REF!,"SCFP (LT)",#REF!,"Revolving Programs")-E9-D9+SUMIFS(#REF!,#REF!,"2022",#REF!,'App. 3 (Comm)'!$A9,#REF!,"TFP (ST)",#REF!,"Revolving Programs")+SUMIFS(#REF!,#REF!,"2022",#REF!,'App. 3 (Comm)'!$A9,#REF!,"MFP (ST)",#REF!,"Revolving Programs")+SUMIFS(#REF!,#REF!,"2022",#REF!,'App. 3 (Comm)'!$A9,#REF!,"SCFP (ST)",#REF!,"Revolving Programs")</f>
        <v>#REF!</v>
      </c>
      <c r="G9" s="10" t="e">
        <f>SUMIFS(#REF!,#REF!,"2022",#REF!,'App. 3 (Comm)'!$A9,#REF!,"ADB")+SUMIFS(#REF!,#REF!,"2022",#REF!,'App. 3 (Comm)'!$A9,#REF!,"Special Fund")+SUMIFS(#REF!,#REF!,"2022",#REF!,'App. 3 (Comm)'!$A9,#REF!,"TFP (LT)",#REF!,"Revolving Programs")+SUMIFS(#REF!,#REF!,"2022",#REF!,'App. 3 (Comm)'!$A9,#REF!,"MFP (LT)",#REF!,"Revolving Programs")+SUMIFS(#REF!,#REF!,"2022",#REF!,'App. 3 (Comm)'!$A9,#REF!,"SCFP (LT)",#REF!,"Revolving Programs")+SUMIFS(#REF!,#REF!,"2022",#REF!,'App. 3 (Comm)'!$A9,#REF!,"TFP (ST)",#REF!,"Revolving Programs")+SUMIFS(#REF!,#REF!,"2022",#REF!,'App. 3 (Comm)'!$A9,#REF!,"MFP (ST)",#REF!,"Revolving Programs")+SUMIFS(#REF!,#REF!,"2022",#REF!,'App. 3 (Comm)'!$A9,#REF!,"SCFP (ST)",#REF!,"Revolving Programs")</f>
        <v>#REF!</v>
      </c>
      <c r="H9" s="11" t="e">
        <f t="shared" si="0"/>
        <v>#REF!</v>
      </c>
      <c r="I9" s="11" t="e">
        <f>SUMIFS(#REF!,#REF!,"2022",#REF!,'App. 3 (Comm)'!$A9,#REF!,"Asia Pacific Vaccine Access Facility")-D9</f>
        <v>#REF!</v>
      </c>
      <c r="J9" s="11" t="e">
        <f>SUMIFS(#REF!,#REF!,"2022",#REF!,'App. 3 (Comm)'!$A9,#REF!,"COVID19 Pandemic Response Option")-E9</f>
        <v>#REF!</v>
      </c>
      <c r="K9" s="10" t="e">
        <f>SUMIFS(#REF!,#REF!,"2022",#REF!,'App. 3 (Comm)'!$A9)-J9-I9-E9-D9-F9-SUMIFS(#REF!,#REF!,"MFF-ADB",#REF!,"2022",#REF!,'App. 3 (Comm)'!$A9)</f>
        <v>#REF!</v>
      </c>
      <c r="L9" s="10" t="e">
        <f>SUMIFS(#REF!,#REF!,"2022",#REF!,'App. 3 (Comm)'!$A9)-G9-SUMIFS(#REF!,#REF!,"MFF-ADB",#REF!,"2022",#REF!,'App. 3 (Comm)'!$A9)-SUMIFS(#REF!,#REF!,"MFF-Official",#REF!,"2022",#REF!,'App. 3 (Comm)'!$A9)</f>
        <v>#REF!</v>
      </c>
      <c r="M9" s="10" t="e">
        <f t="shared" ref="M9:M60" si="2">SUM(I9:L9)</f>
        <v>#REF!</v>
      </c>
      <c r="N9" s="10" t="e">
        <f t="shared" si="1"/>
        <v>#REF!</v>
      </c>
    </row>
    <row r="10" spans="1:14">
      <c r="A10" s="3" t="s">
        <v>180</v>
      </c>
      <c r="C10" s="9" t="s">
        <v>11</v>
      </c>
      <c r="D10" s="10" t="e">
        <f>SUMIFS(#REF!,#REF!,"2022",#REF!,'App. 3 (Comm)'!$A10,#REF!,"Asia Pacific Vaccine Access Facility",#REF!,"ADB")+SUMIFS(#REF!,#REF!,"2022",#REF!,'App. 3 (Comm)'!$A10,#REF!,"Asia Pacific Vaccine Access Facility",#REF!,"Special Fund")</f>
        <v>#REF!</v>
      </c>
      <c r="E10" s="10" t="e">
        <f>SUMIFS(#REF!,#REF!,"2022",#REF!,'App. 3 (Comm)'!$A10,#REF!,"COVID19 Pandemic Response Option",#REF!,"ADB")+SUMIFS(#REF!,#REF!,"2022",#REF!,'App. 3 (Comm)'!$A10,#REF!,"COVID19 Pandemic Response Option",#REF!,"Special Fund")</f>
        <v>#REF!</v>
      </c>
      <c r="F10" s="10" t="e">
        <f>SUMIFS(#REF!,#REF!,"2022",#REF!,'App. 3 (Comm)'!$A10,#REF!,"ADB")+SUMIFS(#REF!,#REF!,"2022",#REF!,'App. 3 (Comm)'!$A10,#REF!,"Special Fund")+SUMIFS(#REF!,#REF!,"2022",#REF!,'App. 3 (Comm)'!$A10,#REF!,"TFP (LT)",#REF!,"Revolving Programs")+SUMIFS(#REF!,#REF!,"2022",#REF!,'App. 3 (Comm)'!$A10,#REF!,"MFP (LT)",#REF!,"Revolving Programs")+SUMIFS(#REF!,#REF!,"2022",#REF!,'App. 3 (Comm)'!$A10,#REF!,"SCFP (LT)",#REF!,"Revolving Programs")-E10-D10+SUMIFS(#REF!,#REF!,"2022",#REF!,'App. 3 (Comm)'!$A10,#REF!,"TFP (ST)",#REF!,"Revolving Programs")+SUMIFS(#REF!,#REF!,"2022",#REF!,'App. 3 (Comm)'!$A10,#REF!,"MFP (ST)",#REF!,"Revolving Programs")+SUMIFS(#REF!,#REF!,"2022",#REF!,'App. 3 (Comm)'!$A10,#REF!,"SCFP (ST)",#REF!,"Revolving Programs")</f>
        <v>#REF!</v>
      </c>
      <c r="G10" s="10" t="e">
        <f>SUMIFS(#REF!,#REF!,"2022",#REF!,'App. 3 (Comm)'!$A10,#REF!,"ADB")+SUMIFS(#REF!,#REF!,"2022",#REF!,'App. 3 (Comm)'!$A10,#REF!,"Special Fund")+SUMIFS(#REF!,#REF!,"2022",#REF!,'App. 3 (Comm)'!$A10,#REF!,"TFP (LT)",#REF!,"Revolving Programs")+SUMIFS(#REF!,#REF!,"2022",#REF!,'App. 3 (Comm)'!$A10,#REF!,"MFP (LT)",#REF!,"Revolving Programs")+SUMIFS(#REF!,#REF!,"2022",#REF!,'App. 3 (Comm)'!$A10,#REF!,"SCFP (LT)",#REF!,"Revolving Programs")+SUMIFS(#REF!,#REF!,"2022",#REF!,'App. 3 (Comm)'!$A10,#REF!,"TFP (ST)",#REF!,"Revolving Programs")+SUMIFS(#REF!,#REF!,"2022",#REF!,'App. 3 (Comm)'!$A10,#REF!,"MFP (ST)",#REF!,"Revolving Programs")+SUMIFS(#REF!,#REF!,"2022",#REF!,'App. 3 (Comm)'!$A10,#REF!,"SCFP (ST)",#REF!,"Revolving Programs")</f>
        <v>#REF!</v>
      </c>
      <c r="H10" s="11" t="e">
        <f t="shared" si="0"/>
        <v>#REF!</v>
      </c>
      <c r="I10" s="11" t="e">
        <f>SUMIFS(#REF!,#REF!,"2022",#REF!,'App. 3 (Comm)'!$A10,#REF!,"Asia Pacific Vaccine Access Facility")-D10</f>
        <v>#REF!</v>
      </c>
      <c r="J10" s="11" t="e">
        <f>SUMIFS(#REF!,#REF!,"2022",#REF!,'App. 3 (Comm)'!$A10,#REF!,"COVID19 Pandemic Response Option")-E10</f>
        <v>#REF!</v>
      </c>
      <c r="K10" s="10" t="e">
        <f>SUMIFS(#REF!,#REF!,"2022",#REF!,'App. 3 (Comm)'!$A10)-J10-I10-E10-D10-F10-SUMIFS(#REF!,#REF!,"MFF-ADB",#REF!,"2022",#REF!,'App. 3 (Comm)'!$A10)</f>
        <v>#REF!</v>
      </c>
      <c r="L10" s="10" t="e">
        <f>SUMIFS(#REF!,#REF!,"2022",#REF!,'App. 3 (Comm)'!$A10)-G10-SUMIFS(#REF!,#REF!,"MFF-ADB",#REF!,"2022",#REF!,'App. 3 (Comm)'!$A10)-SUMIFS(#REF!,#REF!,"MFF-Official",#REF!,"2022",#REF!,'App. 3 (Comm)'!$A10)</f>
        <v>#REF!</v>
      </c>
      <c r="M10" s="10" t="e">
        <f t="shared" si="2"/>
        <v>#REF!</v>
      </c>
      <c r="N10" s="10" t="e">
        <f t="shared" si="1"/>
        <v>#REF!</v>
      </c>
    </row>
    <row r="11" spans="1:14">
      <c r="A11" s="3" t="s">
        <v>181</v>
      </c>
      <c r="C11" s="9" t="s">
        <v>23</v>
      </c>
      <c r="D11" s="10" t="e">
        <f>SUMIFS(#REF!,#REF!,"2022",#REF!,'App. 3 (Comm)'!$A11,#REF!,"Asia Pacific Vaccine Access Facility",#REF!,"ADB")+SUMIFS(#REF!,#REF!,"2022",#REF!,'App. 3 (Comm)'!$A11,#REF!,"Asia Pacific Vaccine Access Facility",#REF!,"Special Fund")</f>
        <v>#REF!</v>
      </c>
      <c r="E11" s="10" t="e">
        <f>SUMIFS(#REF!,#REF!,"2022",#REF!,'App. 3 (Comm)'!$A11,#REF!,"COVID19 Pandemic Response Option",#REF!,"ADB")+SUMIFS(#REF!,#REF!,"2022",#REF!,'App. 3 (Comm)'!$A11,#REF!,"COVID19 Pandemic Response Option",#REF!,"Special Fund")</f>
        <v>#REF!</v>
      </c>
      <c r="F11" s="10" t="e">
        <f>SUMIFS(#REF!,#REF!,"2022",#REF!,'App. 3 (Comm)'!$A11,#REF!,"ADB")+SUMIFS(#REF!,#REF!,"2022",#REF!,'App. 3 (Comm)'!$A11,#REF!,"Special Fund")+SUMIFS(#REF!,#REF!,"2022",#REF!,'App. 3 (Comm)'!$A11,#REF!,"TFP (LT)",#REF!,"Revolving Programs")+SUMIFS(#REF!,#REF!,"2022",#REF!,'App. 3 (Comm)'!$A11,#REF!,"MFP (LT)",#REF!,"Revolving Programs")+SUMIFS(#REF!,#REF!,"2022",#REF!,'App. 3 (Comm)'!$A11,#REF!,"SCFP (LT)",#REF!,"Revolving Programs")-E11-D11+SUMIFS(#REF!,#REF!,"2022",#REF!,'App. 3 (Comm)'!$A11,#REF!,"TFP (ST)",#REF!,"Revolving Programs")+SUMIFS(#REF!,#REF!,"2022",#REF!,'App. 3 (Comm)'!$A11,#REF!,"MFP (ST)",#REF!,"Revolving Programs")+SUMIFS(#REF!,#REF!,"2022",#REF!,'App. 3 (Comm)'!$A11,#REF!,"SCFP (ST)",#REF!,"Revolving Programs")</f>
        <v>#REF!</v>
      </c>
      <c r="G11" s="10" t="e">
        <f>SUMIFS(#REF!,#REF!,"2022",#REF!,'App. 3 (Comm)'!$A11,#REF!,"ADB")+SUMIFS(#REF!,#REF!,"2022",#REF!,'App. 3 (Comm)'!$A11,#REF!,"Special Fund")+SUMIFS(#REF!,#REF!,"2022",#REF!,'App. 3 (Comm)'!$A11,#REF!,"TFP (LT)",#REF!,"Revolving Programs")+SUMIFS(#REF!,#REF!,"2022",#REF!,'App. 3 (Comm)'!$A11,#REF!,"MFP (LT)",#REF!,"Revolving Programs")+SUMIFS(#REF!,#REF!,"2022",#REF!,'App. 3 (Comm)'!$A11,#REF!,"SCFP (LT)",#REF!,"Revolving Programs")+SUMIFS(#REF!,#REF!,"2022",#REF!,'App. 3 (Comm)'!$A11,#REF!,"TFP (ST)",#REF!,"Revolving Programs")+SUMIFS(#REF!,#REF!,"2022",#REF!,'App. 3 (Comm)'!$A11,#REF!,"MFP (ST)",#REF!,"Revolving Programs")+SUMIFS(#REF!,#REF!,"2022",#REF!,'App. 3 (Comm)'!$A11,#REF!,"SCFP (ST)",#REF!,"Revolving Programs")</f>
        <v>#REF!</v>
      </c>
      <c r="H11" s="11" t="e">
        <f t="shared" si="0"/>
        <v>#REF!</v>
      </c>
      <c r="I11" s="11" t="e">
        <f>SUMIFS(#REF!,#REF!,"2022",#REF!,'App. 3 (Comm)'!$A11,#REF!,"Asia Pacific Vaccine Access Facility")-D11</f>
        <v>#REF!</v>
      </c>
      <c r="J11" s="11" t="e">
        <f>SUMIFS(#REF!,#REF!,"2022",#REF!,'App. 3 (Comm)'!$A11,#REF!,"COVID19 Pandemic Response Option")-E11</f>
        <v>#REF!</v>
      </c>
      <c r="K11" s="10" t="e">
        <f>SUMIFS(#REF!,#REF!,"2022",#REF!,'App. 3 (Comm)'!$A11)-J11-I11-E11-D11-F11-SUMIFS(#REF!,#REF!,"MFF-ADB",#REF!,"2022",#REF!,'App. 3 (Comm)'!$A11)</f>
        <v>#REF!</v>
      </c>
      <c r="L11" s="10" t="e">
        <f>SUMIFS(#REF!,#REF!,"2022",#REF!,'App. 3 (Comm)'!$A11)-G11-SUMIFS(#REF!,#REF!,"MFF-ADB",#REF!,"2022",#REF!,'App. 3 (Comm)'!$A11)-SUMIFS(#REF!,#REF!,"MFF-Official",#REF!,"2022",#REF!,'App. 3 (Comm)'!$A11)</f>
        <v>#REF!</v>
      </c>
      <c r="M11" s="10" t="e">
        <f t="shared" si="2"/>
        <v>#REF!</v>
      </c>
      <c r="N11" s="10" t="e">
        <f t="shared" si="1"/>
        <v>#REF!</v>
      </c>
    </row>
    <row r="12" spans="1:14">
      <c r="A12" s="3" t="s">
        <v>182</v>
      </c>
      <c r="C12" s="9" t="s">
        <v>28</v>
      </c>
      <c r="D12" s="10" t="e">
        <f>SUMIFS(#REF!,#REF!,"2022",#REF!,'App. 3 (Comm)'!$A12,#REF!,"Asia Pacific Vaccine Access Facility",#REF!,"ADB")+SUMIFS(#REF!,#REF!,"2022",#REF!,'App. 3 (Comm)'!$A12,#REF!,"Asia Pacific Vaccine Access Facility",#REF!,"Special Fund")</f>
        <v>#REF!</v>
      </c>
      <c r="E12" s="10" t="e">
        <f>SUMIFS(#REF!,#REF!,"2022",#REF!,'App. 3 (Comm)'!$A12,#REF!,"COVID19 Pandemic Response Option",#REF!,"ADB")+SUMIFS(#REF!,#REF!,"2022",#REF!,'App. 3 (Comm)'!$A12,#REF!,"COVID19 Pandemic Response Option",#REF!,"Special Fund")</f>
        <v>#REF!</v>
      </c>
      <c r="F12" s="10" t="e">
        <f>SUMIFS(#REF!,#REF!,"2022",#REF!,'App. 3 (Comm)'!$A12,#REF!,"ADB")+SUMIFS(#REF!,#REF!,"2022",#REF!,'App. 3 (Comm)'!$A12,#REF!,"Special Fund")+SUMIFS(#REF!,#REF!,"2022",#REF!,'App. 3 (Comm)'!$A12,#REF!,"TFP (LT)",#REF!,"Revolving Programs")+SUMIFS(#REF!,#REF!,"2022",#REF!,'App. 3 (Comm)'!$A12,#REF!,"MFP (LT)",#REF!,"Revolving Programs")+SUMIFS(#REF!,#REF!,"2022",#REF!,'App. 3 (Comm)'!$A12,#REF!,"SCFP (LT)",#REF!,"Revolving Programs")-E12-D12+SUMIFS(#REF!,#REF!,"2022",#REF!,'App. 3 (Comm)'!$A12,#REF!,"TFP (ST)",#REF!,"Revolving Programs")+SUMIFS(#REF!,#REF!,"2022",#REF!,'App. 3 (Comm)'!$A12,#REF!,"MFP (ST)",#REF!,"Revolving Programs")+SUMIFS(#REF!,#REF!,"2022",#REF!,'App. 3 (Comm)'!$A12,#REF!,"SCFP (ST)",#REF!,"Revolving Programs")</f>
        <v>#REF!</v>
      </c>
      <c r="G12" s="10" t="e">
        <f>SUMIFS(#REF!,#REF!,"2022",#REF!,'App. 3 (Comm)'!$A12,#REF!,"ADB")+SUMIFS(#REF!,#REF!,"2022",#REF!,'App. 3 (Comm)'!$A12,#REF!,"Special Fund")+SUMIFS(#REF!,#REF!,"2022",#REF!,'App. 3 (Comm)'!$A12,#REF!,"TFP (LT)",#REF!,"Revolving Programs")+SUMIFS(#REF!,#REF!,"2022",#REF!,'App. 3 (Comm)'!$A12,#REF!,"MFP (LT)",#REF!,"Revolving Programs")+SUMIFS(#REF!,#REF!,"2022",#REF!,'App. 3 (Comm)'!$A12,#REF!,"SCFP (LT)",#REF!,"Revolving Programs")+SUMIFS(#REF!,#REF!,"2022",#REF!,'App. 3 (Comm)'!$A12,#REF!,"TFP (ST)",#REF!,"Revolving Programs")+SUMIFS(#REF!,#REF!,"2022",#REF!,'App. 3 (Comm)'!$A12,#REF!,"MFP (ST)",#REF!,"Revolving Programs")+SUMIFS(#REF!,#REF!,"2022",#REF!,'App. 3 (Comm)'!$A12,#REF!,"SCFP (ST)",#REF!,"Revolving Programs")</f>
        <v>#REF!</v>
      </c>
      <c r="H12" s="11" t="e">
        <f t="shared" si="0"/>
        <v>#REF!</v>
      </c>
      <c r="I12" s="11" t="e">
        <f>SUMIFS(#REF!,#REF!,"2022",#REF!,'App. 3 (Comm)'!$A12,#REF!,"Asia Pacific Vaccine Access Facility")-D12</f>
        <v>#REF!</v>
      </c>
      <c r="J12" s="11" t="e">
        <f>SUMIFS(#REF!,#REF!,"2022",#REF!,'App. 3 (Comm)'!$A12,#REF!,"COVID19 Pandemic Response Option")-E12</f>
        <v>#REF!</v>
      </c>
      <c r="K12" s="10" t="e">
        <f>SUMIFS(#REF!,#REF!,"2022",#REF!,'App. 3 (Comm)'!$A12)-J12-I12-E12-D12-F12-SUMIFS(#REF!,#REF!,"MFF-ADB",#REF!,"2022",#REF!,'App. 3 (Comm)'!$A12)</f>
        <v>#REF!</v>
      </c>
      <c r="L12" s="10" t="e">
        <f>SUMIFS(#REF!,#REF!,"2022",#REF!,'App. 3 (Comm)'!$A12)-G12-SUMIFS(#REF!,#REF!,"MFF-ADB",#REF!,"2022",#REF!,'App. 3 (Comm)'!$A12)-SUMIFS(#REF!,#REF!,"MFF-Official",#REF!,"2022",#REF!,'App. 3 (Comm)'!$A12)</f>
        <v>#REF!</v>
      </c>
      <c r="M12" s="10" t="e">
        <f t="shared" si="2"/>
        <v>#REF!</v>
      </c>
      <c r="N12" s="10" t="e">
        <f t="shared" si="1"/>
        <v>#REF!</v>
      </c>
    </row>
    <row r="13" spans="1:14">
      <c r="A13" s="3" t="s">
        <v>183</v>
      </c>
      <c r="C13" s="9" t="s">
        <v>30</v>
      </c>
      <c r="D13" s="10" t="e">
        <f>SUMIFS(#REF!,#REF!,"2022",#REF!,'App. 3 (Comm)'!$A13,#REF!,"Asia Pacific Vaccine Access Facility",#REF!,"ADB")+SUMIFS(#REF!,#REF!,"2022",#REF!,'App. 3 (Comm)'!$A13,#REF!,"Asia Pacific Vaccine Access Facility",#REF!,"Special Fund")</f>
        <v>#REF!</v>
      </c>
      <c r="E13" s="10" t="e">
        <f>SUMIFS(#REF!,#REF!,"2022",#REF!,'App. 3 (Comm)'!$A13,#REF!,"COVID19 Pandemic Response Option",#REF!,"ADB")+SUMIFS(#REF!,#REF!,"2022",#REF!,'App. 3 (Comm)'!$A13,#REF!,"COVID19 Pandemic Response Option",#REF!,"Special Fund")</f>
        <v>#REF!</v>
      </c>
      <c r="F13" s="10" t="e">
        <f>SUMIFS(#REF!,#REF!,"2022",#REF!,'App. 3 (Comm)'!$A13,#REF!,"ADB")+SUMIFS(#REF!,#REF!,"2022",#REF!,'App. 3 (Comm)'!$A13,#REF!,"Special Fund")+SUMIFS(#REF!,#REF!,"2022",#REF!,'App. 3 (Comm)'!$A13,#REF!,"TFP (LT)",#REF!,"Revolving Programs")+SUMIFS(#REF!,#REF!,"2022",#REF!,'App. 3 (Comm)'!$A13,#REF!,"MFP (LT)",#REF!,"Revolving Programs")+SUMIFS(#REF!,#REF!,"2022",#REF!,'App. 3 (Comm)'!$A13,#REF!,"SCFP (LT)",#REF!,"Revolving Programs")-E13-D13+SUMIFS(#REF!,#REF!,"2022",#REF!,'App. 3 (Comm)'!$A13,#REF!,"TFP (ST)",#REF!,"Revolving Programs")+SUMIFS(#REF!,#REF!,"2022",#REF!,'App. 3 (Comm)'!$A13,#REF!,"MFP (ST)",#REF!,"Revolving Programs")+SUMIFS(#REF!,#REF!,"2022",#REF!,'App. 3 (Comm)'!$A13,#REF!,"SCFP (ST)",#REF!,"Revolving Programs")</f>
        <v>#REF!</v>
      </c>
      <c r="G13" s="10" t="e">
        <f>SUMIFS(#REF!,#REF!,"2022",#REF!,'App. 3 (Comm)'!$A13,#REF!,"ADB")+SUMIFS(#REF!,#REF!,"2022",#REF!,'App. 3 (Comm)'!$A13,#REF!,"Special Fund")+SUMIFS(#REF!,#REF!,"2022",#REF!,'App. 3 (Comm)'!$A13,#REF!,"TFP (LT)",#REF!,"Revolving Programs")+SUMIFS(#REF!,#REF!,"2022",#REF!,'App. 3 (Comm)'!$A13,#REF!,"MFP (LT)",#REF!,"Revolving Programs")+SUMIFS(#REF!,#REF!,"2022",#REF!,'App. 3 (Comm)'!$A13,#REF!,"SCFP (LT)",#REF!,"Revolving Programs")+SUMIFS(#REF!,#REF!,"2022",#REF!,'App. 3 (Comm)'!$A13,#REF!,"TFP (ST)",#REF!,"Revolving Programs")+SUMIFS(#REF!,#REF!,"2022",#REF!,'App. 3 (Comm)'!$A13,#REF!,"MFP (ST)",#REF!,"Revolving Programs")+SUMIFS(#REF!,#REF!,"2022",#REF!,'App. 3 (Comm)'!$A13,#REF!,"SCFP (ST)",#REF!,"Revolving Programs")</f>
        <v>#REF!</v>
      </c>
      <c r="H13" s="11" t="e">
        <f t="shared" si="0"/>
        <v>#REF!</v>
      </c>
      <c r="I13" s="11" t="e">
        <f>SUMIFS(#REF!,#REF!,"2022",#REF!,'App. 3 (Comm)'!$A13,#REF!,"Asia Pacific Vaccine Access Facility")-D13</f>
        <v>#REF!</v>
      </c>
      <c r="J13" s="11" t="e">
        <f>SUMIFS(#REF!,#REF!,"2022",#REF!,'App. 3 (Comm)'!$A13,#REF!,"COVID19 Pandemic Response Option")-E13</f>
        <v>#REF!</v>
      </c>
      <c r="K13" s="10" t="e">
        <f>SUMIFS(#REF!,#REF!,"2022",#REF!,'App. 3 (Comm)'!$A13)-J13-I13-E13-D13-F13-SUMIFS(#REF!,#REF!,"MFF-ADB",#REF!,"2022",#REF!,'App. 3 (Comm)'!$A13)</f>
        <v>#REF!</v>
      </c>
      <c r="L13" s="10" t="e">
        <f>SUMIFS(#REF!,#REF!,"2022",#REF!,'App. 3 (Comm)'!$A13)-G13-SUMIFS(#REF!,#REF!,"MFF-ADB",#REF!,"2022",#REF!,'App. 3 (Comm)'!$A13)-SUMIFS(#REF!,#REF!,"MFF-Official",#REF!,"2022",#REF!,'App. 3 (Comm)'!$A13)</f>
        <v>#REF!</v>
      </c>
      <c r="M13" s="10" t="e">
        <f t="shared" si="2"/>
        <v>#REF!</v>
      </c>
      <c r="N13" s="10" t="e">
        <f t="shared" si="1"/>
        <v>#REF!</v>
      </c>
    </row>
    <row r="14" spans="1:14">
      <c r="A14" s="3" t="s">
        <v>184</v>
      </c>
      <c r="C14" s="9" t="s">
        <v>39</v>
      </c>
      <c r="D14" s="10" t="e">
        <f>SUMIFS(#REF!,#REF!,"2022",#REF!,'App. 3 (Comm)'!$A14,#REF!,"Asia Pacific Vaccine Access Facility",#REF!,"ADB")+SUMIFS(#REF!,#REF!,"2022",#REF!,'App. 3 (Comm)'!$A14,#REF!,"Asia Pacific Vaccine Access Facility",#REF!,"Special Fund")</f>
        <v>#REF!</v>
      </c>
      <c r="E14" s="10" t="e">
        <f>SUMIFS(#REF!,#REF!,"2022",#REF!,'App. 3 (Comm)'!$A14,#REF!,"COVID19 Pandemic Response Option",#REF!,"ADB")+SUMIFS(#REF!,#REF!,"2022",#REF!,'App. 3 (Comm)'!$A14,#REF!,"COVID19 Pandemic Response Option",#REF!,"Special Fund")</f>
        <v>#REF!</v>
      </c>
      <c r="F14" s="10" t="e">
        <f>SUMIFS(#REF!,#REF!,"2022",#REF!,'App. 3 (Comm)'!$A14,#REF!,"ADB")+SUMIFS(#REF!,#REF!,"2022",#REF!,'App. 3 (Comm)'!$A14,#REF!,"Special Fund")+SUMIFS(#REF!,#REF!,"2022",#REF!,'App. 3 (Comm)'!$A14,#REF!,"TFP (LT)",#REF!,"Revolving Programs")+SUMIFS(#REF!,#REF!,"2022",#REF!,'App. 3 (Comm)'!$A14,#REF!,"MFP (LT)",#REF!,"Revolving Programs")+SUMIFS(#REF!,#REF!,"2022",#REF!,'App. 3 (Comm)'!$A14,#REF!,"SCFP (LT)",#REF!,"Revolving Programs")-E14-D14+SUMIFS(#REF!,#REF!,"2022",#REF!,'App. 3 (Comm)'!$A14,#REF!,"TFP (ST)",#REF!,"Revolving Programs")+SUMIFS(#REF!,#REF!,"2022",#REF!,'App. 3 (Comm)'!$A14,#REF!,"MFP (ST)",#REF!,"Revolving Programs")+SUMIFS(#REF!,#REF!,"2022",#REF!,'App. 3 (Comm)'!$A14,#REF!,"SCFP (ST)",#REF!,"Revolving Programs")</f>
        <v>#REF!</v>
      </c>
      <c r="G14" s="10" t="e">
        <f>SUMIFS(#REF!,#REF!,"2022",#REF!,'App. 3 (Comm)'!$A14,#REF!,"ADB")+SUMIFS(#REF!,#REF!,"2022",#REF!,'App. 3 (Comm)'!$A14,#REF!,"Special Fund")+SUMIFS(#REF!,#REF!,"2022",#REF!,'App. 3 (Comm)'!$A14,#REF!,"TFP (LT)",#REF!,"Revolving Programs")+SUMIFS(#REF!,#REF!,"2022",#REF!,'App. 3 (Comm)'!$A14,#REF!,"MFP (LT)",#REF!,"Revolving Programs")+SUMIFS(#REF!,#REF!,"2022",#REF!,'App. 3 (Comm)'!$A14,#REF!,"SCFP (LT)",#REF!,"Revolving Programs")+SUMIFS(#REF!,#REF!,"2022",#REF!,'App. 3 (Comm)'!$A14,#REF!,"TFP (ST)",#REF!,"Revolving Programs")+SUMIFS(#REF!,#REF!,"2022",#REF!,'App. 3 (Comm)'!$A14,#REF!,"MFP (ST)",#REF!,"Revolving Programs")+SUMIFS(#REF!,#REF!,"2022",#REF!,'App. 3 (Comm)'!$A14,#REF!,"SCFP (ST)",#REF!,"Revolving Programs")</f>
        <v>#REF!</v>
      </c>
      <c r="H14" s="11" t="e">
        <f t="shared" si="0"/>
        <v>#REF!</v>
      </c>
      <c r="I14" s="11" t="e">
        <f>SUMIFS(#REF!,#REF!,"2022",#REF!,'App. 3 (Comm)'!$A14,#REF!,"Asia Pacific Vaccine Access Facility")-D14</f>
        <v>#REF!</v>
      </c>
      <c r="J14" s="11" t="e">
        <f>SUMIFS(#REF!,#REF!,"2022",#REF!,'App. 3 (Comm)'!$A14,#REF!,"COVID19 Pandemic Response Option")-E14</f>
        <v>#REF!</v>
      </c>
      <c r="K14" s="10" t="e">
        <f>SUMIFS(#REF!,#REF!,"2022",#REF!,'App. 3 (Comm)'!$A14)-J14-I14-E14-D14-F14-SUMIFS(#REF!,#REF!,"MFF-ADB",#REF!,"2022",#REF!,'App. 3 (Comm)'!$A14)</f>
        <v>#REF!</v>
      </c>
      <c r="L14" s="10" t="e">
        <f>SUMIFS(#REF!,#REF!,"2022",#REF!,'App. 3 (Comm)'!$A14)-G14-SUMIFS(#REF!,#REF!,"MFF-ADB",#REF!,"2022",#REF!,'App. 3 (Comm)'!$A14)-SUMIFS(#REF!,#REF!,"MFF-Official",#REF!,"2022",#REF!,'App. 3 (Comm)'!$A14)</f>
        <v>#REF!</v>
      </c>
      <c r="M14" s="10" t="e">
        <f t="shared" si="2"/>
        <v>#REF!</v>
      </c>
      <c r="N14" s="10" t="e">
        <f t="shared" si="1"/>
        <v>#REF!</v>
      </c>
    </row>
    <row r="15" spans="1:14">
      <c r="A15" s="3" t="s">
        <v>185</v>
      </c>
      <c r="C15" s="9" t="s">
        <v>47</v>
      </c>
      <c r="D15" s="10" t="e">
        <f>SUMIFS(#REF!,#REF!,"2022",#REF!,'App. 3 (Comm)'!$A15,#REF!,"Asia Pacific Vaccine Access Facility",#REF!,"ADB")+SUMIFS(#REF!,#REF!,"2022",#REF!,'App. 3 (Comm)'!$A15,#REF!,"Asia Pacific Vaccine Access Facility",#REF!,"Special Fund")</f>
        <v>#REF!</v>
      </c>
      <c r="E15" s="10" t="e">
        <f>SUMIFS(#REF!,#REF!,"2022",#REF!,'App. 3 (Comm)'!$A15,#REF!,"COVID19 Pandemic Response Option",#REF!,"ADB")+SUMIFS(#REF!,#REF!,"2022",#REF!,'App. 3 (Comm)'!$A15,#REF!,"COVID19 Pandemic Response Option",#REF!,"Special Fund")</f>
        <v>#REF!</v>
      </c>
      <c r="F15" s="10" t="e">
        <f>SUMIFS(#REF!,#REF!,"2022",#REF!,'App. 3 (Comm)'!$A15,#REF!,"ADB")+SUMIFS(#REF!,#REF!,"2022",#REF!,'App. 3 (Comm)'!$A15,#REF!,"Special Fund")+SUMIFS(#REF!,#REF!,"2022",#REF!,'App. 3 (Comm)'!$A15,#REF!,"TFP (LT)",#REF!,"Revolving Programs")+SUMIFS(#REF!,#REF!,"2022",#REF!,'App. 3 (Comm)'!$A15,#REF!,"MFP (LT)",#REF!,"Revolving Programs")+SUMIFS(#REF!,#REF!,"2022",#REF!,'App. 3 (Comm)'!$A15,#REF!,"SCFP (LT)",#REF!,"Revolving Programs")-E15-D15+SUMIFS(#REF!,#REF!,"2022",#REF!,'App. 3 (Comm)'!$A15,#REF!,"TFP (ST)",#REF!,"Revolving Programs")+SUMIFS(#REF!,#REF!,"2022",#REF!,'App. 3 (Comm)'!$A15,#REF!,"MFP (ST)",#REF!,"Revolving Programs")+SUMIFS(#REF!,#REF!,"2022",#REF!,'App. 3 (Comm)'!$A15,#REF!,"SCFP (ST)",#REF!,"Revolving Programs")</f>
        <v>#REF!</v>
      </c>
      <c r="G15" s="10" t="e">
        <f>SUMIFS(#REF!,#REF!,"2022",#REF!,'App. 3 (Comm)'!$A15,#REF!,"ADB")+SUMIFS(#REF!,#REF!,"2022",#REF!,'App. 3 (Comm)'!$A15,#REF!,"Special Fund")+SUMIFS(#REF!,#REF!,"2022",#REF!,'App. 3 (Comm)'!$A15,#REF!,"TFP (LT)",#REF!,"Revolving Programs")+SUMIFS(#REF!,#REF!,"2022",#REF!,'App. 3 (Comm)'!$A15,#REF!,"MFP (LT)",#REF!,"Revolving Programs")+SUMIFS(#REF!,#REF!,"2022",#REF!,'App. 3 (Comm)'!$A15,#REF!,"SCFP (LT)",#REF!,"Revolving Programs")+SUMIFS(#REF!,#REF!,"2022",#REF!,'App. 3 (Comm)'!$A15,#REF!,"TFP (ST)",#REF!,"Revolving Programs")+SUMIFS(#REF!,#REF!,"2022",#REF!,'App. 3 (Comm)'!$A15,#REF!,"MFP (ST)",#REF!,"Revolving Programs")+SUMIFS(#REF!,#REF!,"2022",#REF!,'App. 3 (Comm)'!$A15,#REF!,"SCFP (ST)",#REF!,"Revolving Programs")</f>
        <v>#REF!</v>
      </c>
      <c r="H15" s="11" t="e">
        <f t="shared" si="0"/>
        <v>#REF!</v>
      </c>
      <c r="I15" s="11" t="e">
        <f>SUMIFS(#REF!,#REF!,"2022",#REF!,'App. 3 (Comm)'!$A15,#REF!,"Asia Pacific Vaccine Access Facility")-D15</f>
        <v>#REF!</v>
      </c>
      <c r="J15" s="11" t="e">
        <f>SUMIFS(#REF!,#REF!,"2022",#REF!,'App. 3 (Comm)'!$A15,#REF!,"COVID19 Pandemic Response Option")-E15</f>
        <v>#REF!</v>
      </c>
      <c r="K15" s="10" t="e">
        <f>SUMIFS(#REF!,#REF!,"2022",#REF!,'App. 3 (Comm)'!$A15)-J15-I15-E15-D15-F15-SUMIFS(#REF!,#REF!,"MFF-ADB",#REF!,"2022",#REF!,'App. 3 (Comm)'!$A15)</f>
        <v>#REF!</v>
      </c>
      <c r="L15" s="10" t="e">
        <f>SUMIFS(#REF!,#REF!,"2022",#REF!,'App. 3 (Comm)'!$A15)-G15-SUMIFS(#REF!,#REF!,"MFF-ADB",#REF!,"2022",#REF!,'App. 3 (Comm)'!$A15)-SUMIFS(#REF!,#REF!,"MFF-Official",#REF!,"2022",#REF!,'App. 3 (Comm)'!$A15)</f>
        <v>#REF!</v>
      </c>
      <c r="M15" s="10" t="e">
        <f t="shared" si="2"/>
        <v>#REF!</v>
      </c>
      <c r="N15" s="10" t="e">
        <f t="shared" si="1"/>
        <v>#REF!</v>
      </c>
    </row>
    <row r="16" spans="1:14">
      <c r="A16" s="3" t="s">
        <v>186</v>
      </c>
      <c r="C16" s="9" t="s">
        <v>51</v>
      </c>
      <c r="D16" s="10" t="e">
        <f>SUMIFS(#REF!,#REF!,"2022",#REF!,'App. 3 (Comm)'!$A16,#REF!,"Asia Pacific Vaccine Access Facility",#REF!,"ADB")+SUMIFS(#REF!,#REF!,"2022",#REF!,'App. 3 (Comm)'!$A16,#REF!,"Asia Pacific Vaccine Access Facility",#REF!,"Special Fund")</f>
        <v>#REF!</v>
      </c>
      <c r="E16" s="10" t="e">
        <f>SUMIFS(#REF!,#REF!,"2022",#REF!,'App. 3 (Comm)'!$A16,#REF!,"COVID19 Pandemic Response Option",#REF!,"ADB")+SUMIFS(#REF!,#REF!,"2022",#REF!,'App. 3 (Comm)'!$A16,#REF!,"COVID19 Pandemic Response Option",#REF!,"Special Fund")</f>
        <v>#REF!</v>
      </c>
      <c r="F16" s="10" t="e">
        <f>SUMIFS(#REF!,#REF!,"2022",#REF!,'App. 3 (Comm)'!$A16,#REF!,"ADB")+SUMIFS(#REF!,#REF!,"2022",#REF!,'App. 3 (Comm)'!$A16,#REF!,"Special Fund")+SUMIFS(#REF!,#REF!,"2022",#REF!,'App. 3 (Comm)'!$A16,#REF!,"TFP (LT)",#REF!,"Revolving Programs")+SUMIFS(#REF!,#REF!,"2022",#REF!,'App. 3 (Comm)'!$A16,#REF!,"MFP (LT)",#REF!,"Revolving Programs")+SUMIFS(#REF!,#REF!,"2022",#REF!,'App. 3 (Comm)'!$A16,#REF!,"SCFP (LT)",#REF!,"Revolving Programs")-E16-D16+SUMIFS(#REF!,#REF!,"2022",#REF!,'App. 3 (Comm)'!$A16,#REF!,"TFP (ST)",#REF!,"Revolving Programs")+SUMIFS(#REF!,#REF!,"2022",#REF!,'App. 3 (Comm)'!$A16,#REF!,"MFP (ST)",#REF!,"Revolving Programs")+SUMIFS(#REF!,#REF!,"2022",#REF!,'App. 3 (Comm)'!$A16,#REF!,"SCFP (ST)",#REF!,"Revolving Programs")</f>
        <v>#REF!</v>
      </c>
      <c r="G16" s="10" t="e">
        <f>SUMIFS(#REF!,#REF!,"2022",#REF!,'App. 3 (Comm)'!$A16,#REF!,"ADB")+SUMIFS(#REF!,#REF!,"2022",#REF!,'App. 3 (Comm)'!$A16,#REF!,"Special Fund")+SUMIFS(#REF!,#REF!,"2022",#REF!,'App. 3 (Comm)'!$A16,#REF!,"TFP (LT)",#REF!,"Revolving Programs")+SUMIFS(#REF!,#REF!,"2022",#REF!,'App. 3 (Comm)'!$A16,#REF!,"MFP (LT)",#REF!,"Revolving Programs")+SUMIFS(#REF!,#REF!,"2022",#REF!,'App. 3 (Comm)'!$A16,#REF!,"SCFP (LT)",#REF!,"Revolving Programs")+SUMIFS(#REF!,#REF!,"2022",#REF!,'App. 3 (Comm)'!$A16,#REF!,"TFP (ST)",#REF!,"Revolving Programs")+SUMIFS(#REF!,#REF!,"2022",#REF!,'App. 3 (Comm)'!$A16,#REF!,"MFP (ST)",#REF!,"Revolving Programs")+SUMIFS(#REF!,#REF!,"2022",#REF!,'App. 3 (Comm)'!$A16,#REF!,"SCFP (ST)",#REF!,"Revolving Programs")</f>
        <v>#REF!</v>
      </c>
      <c r="H16" s="11" t="e">
        <f t="shared" si="0"/>
        <v>#REF!</v>
      </c>
      <c r="I16" s="11" t="e">
        <f>SUMIFS(#REF!,#REF!,"2022",#REF!,'App. 3 (Comm)'!$A16,#REF!,"Asia Pacific Vaccine Access Facility")-D16</f>
        <v>#REF!</v>
      </c>
      <c r="J16" s="11" t="e">
        <f>SUMIFS(#REF!,#REF!,"2022",#REF!,'App. 3 (Comm)'!$A16,#REF!,"COVID19 Pandemic Response Option")-E16</f>
        <v>#REF!</v>
      </c>
      <c r="K16" s="10" t="e">
        <f>SUMIFS(#REF!,#REF!,"2022",#REF!,'App. 3 (Comm)'!$A16)-J16-I16-E16-D16-F16-SUMIFS(#REF!,#REF!,"MFF-ADB",#REF!,"2022",#REF!,'App. 3 (Comm)'!$A16)</f>
        <v>#REF!</v>
      </c>
      <c r="L16" s="10" t="e">
        <f>SUMIFS(#REF!,#REF!,"2022",#REF!,'App. 3 (Comm)'!$A16)-G16-SUMIFS(#REF!,#REF!,"MFF-ADB",#REF!,"2022",#REF!,'App. 3 (Comm)'!$A16)-SUMIFS(#REF!,#REF!,"MFF-Official",#REF!,"2022",#REF!,'App. 3 (Comm)'!$A16)</f>
        <v>#REF!</v>
      </c>
      <c r="M16" s="10" t="e">
        <f t="shared" si="2"/>
        <v>#REF!</v>
      </c>
      <c r="N16" s="10" t="e">
        <f t="shared" si="1"/>
        <v>#REF!</v>
      </c>
    </row>
    <row r="17" spans="1:14">
      <c r="A17" s="3" t="s">
        <v>187</v>
      </c>
      <c r="C17" s="15" t="s">
        <v>53</v>
      </c>
      <c r="D17" s="10" t="e">
        <f>SUMIFS(#REF!,#REF!,"2022",#REF!,'App. 3 (Comm)'!$A17,#REF!,"Asia Pacific Vaccine Access Facility",#REF!,"ADB")+SUMIFS(#REF!,#REF!,"2022",#REF!,'App. 3 (Comm)'!$A17,#REF!,"Asia Pacific Vaccine Access Facility",#REF!,"Special Fund")</f>
        <v>#REF!</v>
      </c>
      <c r="E17" s="10" t="e">
        <f>SUMIFS(#REF!,#REF!,"2022",#REF!,'App. 3 (Comm)'!$A17,#REF!,"COVID19 Pandemic Response Option",#REF!,"ADB")+SUMIFS(#REF!,#REF!,"2022",#REF!,'App. 3 (Comm)'!$A17,#REF!,"COVID19 Pandemic Response Option",#REF!,"Special Fund")</f>
        <v>#REF!</v>
      </c>
      <c r="F17" s="10" t="e">
        <f>SUMIFS(#REF!,#REF!,"2022",#REF!,'App. 3 (Comm)'!$A17,#REF!,"ADB")+SUMIFS(#REF!,#REF!,"2022",#REF!,'App. 3 (Comm)'!$A17,#REF!,"Special Fund")+SUMIFS(#REF!,#REF!,"2022",#REF!,'App. 3 (Comm)'!$A17,#REF!,"TFP (LT)",#REF!,"Revolving Programs")+SUMIFS(#REF!,#REF!,"2022",#REF!,'App. 3 (Comm)'!$A17,#REF!,"MFP (LT)",#REF!,"Revolving Programs")+SUMIFS(#REF!,#REF!,"2022",#REF!,'App. 3 (Comm)'!$A17,#REF!,"SCFP (LT)",#REF!,"Revolving Programs")-E17-D17+SUMIFS(#REF!,#REF!,"2022",#REF!,'App. 3 (Comm)'!$A17,#REF!,"TFP (ST)",#REF!,"Revolving Programs")+SUMIFS(#REF!,#REF!,"2022",#REF!,'App. 3 (Comm)'!$A17,#REF!,"MFP (ST)",#REF!,"Revolving Programs")+SUMIFS(#REF!,#REF!,"2022",#REF!,'App. 3 (Comm)'!$A17,#REF!,"SCFP (ST)",#REF!,"Revolving Programs")</f>
        <v>#REF!</v>
      </c>
      <c r="G17" s="10" t="e">
        <f>SUMIFS(#REF!,#REF!,"2022",#REF!,'App. 3 (Comm)'!$A17,#REF!,"ADB")+SUMIFS(#REF!,#REF!,"2022",#REF!,'App. 3 (Comm)'!$A17,#REF!,"Special Fund")+SUMIFS(#REF!,#REF!,"2022",#REF!,'App. 3 (Comm)'!$A17,#REF!,"TFP (LT)",#REF!,"Revolving Programs")+SUMIFS(#REF!,#REF!,"2022",#REF!,'App. 3 (Comm)'!$A17,#REF!,"MFP (LT)",#REF!,"Revolving Programs")+SUMIFS(#REF!,#REF!,"2022",#REF!,'App. 3 (Comm)'!$A17,#REF!,"SCFP (LT)",#REF!,"Revolving Programs")+SUMIFS(#REF!,#REF!,"2022",#REF!,'App. 3 (Comm)'!$A17,#REF!,"TFP (ST)",#REF!,"Revolving Programs")+SUMIFS(#REF!,#REF!,"2022",#REF!,'App. 3 (Comm)'!$A17,#REF!,"MFP (ST)",#REF!,"Revolving Programs")+SUMIFS(#REF!,#REF!,"2022",#REF!,'App. 3 (Comm)'!$A17,#REF!,"SCFP (ST)",#REF!,"Revolving Programs")</f>
        <v>#REF!</v>
      </c>
      <c r="H17" s="11" t="e">
        <f t="shared" si="0"/>
        <v>#REF!</v>
      </c>
      <c r="I17" s="11" t="e">
        <f>SUMIFS(#REF!,#REF!,"2022",#REF!,'App. 3 (Comm)'!$A17,#REF!,"Asia Pacific Vaccine Access Facility")-D17</f>
        <v>#REF!</v>
      </c>
      <c r="J17" s="11" t="e">
        <f>SUMIFS(#REF!,#REF!,"2022",#REF!,'App. 3 (Comm)'!$A17,#REF!,"COVID19 Pandemic Response Option")-E17</f>
        <v>#REF!</v>
      </c>
      <c r="K17" s="10" t="e">
        <f>SUMIFS(#REF!,#REF!,"2022",#REF!,'App. 3 (Comm)'!$A17)-J17-I17-E17-D17-F17-SUMIFS(#REF!,#REF!,"MFF-ADB",#REF!,"2022",#REF!,'App. 3 (Comm)'!$A17)</f>
        <v>#REF!</v>
      </c>
      <c r="L17" s="10" t="e">
        <f>SUMIFS(#REF!,#REF!,"2022",#REF!,'App. 3 (Comm)'!$A17)-G17-SUMIFS(#REF!,#REF!,"MFF-ADB",#REF!,"2022",#REF!,'App. 3 (Comm)'!$A17)-SUMIFS(#REF!,#REF!,"MFF-Official",#REF!,"2022",#REF!,'App. 3 (Comm)'!$A17)</f>
        <v>#REF!</v>
      </c>
      <c r="M17" s="10" t="e">
        <f t="shared" si="2"/>
        <v>#REF!</v>
      </c>
      <c r="N17" s="10" t="e">
        <f t="shared" si="1"/>
        <v>#REF!</v>
      </c>
    </row>
    <row r="18" spans="1:14" ht="15">
      <c r="C18" s="6" t="s">
        <v>188</v>
      </c>
      <c r="D18" s="17" t="e">
        <f>SUM(D19:D24)</f>
        <v>#REF!</v>
      </c>
      <c r="E18" s="17" t="e">
        <f t="shared" ref="E18:L18" si="3">SUM(E19:E24)</f>
        <v>#REF!</v>
      </c>
      <c r="F18" s="17" t="e">
        <f t="shared" si="3"/>
        <v>#REF!</v>
      </c>
      <c r="G18" s="17" t="e">
        <f t="shared" si="3"/>
        <v>#REF!</v>
      </c>
      <c r="H18" s="7" t="e">
        <f t="shared" si="0"/>
        <v>#REF!</v>
      </c>
      <c r="I18" s="17" t="e">
        <f t="shared" si="3"/>
        <v>#REF!</v>
      </c>
      <c r="J18" s="17" t="e">
        <f>SUM(J19:J24)</f>
        <v>#REF!</v>
      </c>
      <c r="K18" s="17" t="e">
        <f t="shared" si="3"/>
        <v>#REF!</v>
      </c>
      <c r="L18" s="17" t="e">
        <f t="shared" si="3"/>
        <v>#REF!</v>
      </c>
      <c r="M18" s="17" t="e">
        <f t="shared" si="2"/>
        <v>#REF!</v>
      </c>
      <c r="N18" s="17" t="e">
        <f t="shared" si="1"/>
        <v>#REF!</v>
      </c>
    </row>
    <row r="19" spans="1:14">
      <c r="A19" s="3" t="s">
        <v>189</v>
      </c>
      <c r="C19" s="9" t="s">
        <v>12</v>
      </c>
      <c r="D19" s="10" t="e">
        <f>SUMIFS(#REF!,#REF!,"2022",#REF!,'App. 3 (Comm)'!$A19,#REF!,"Asia Pacific Vaccine Access Facility",#REF!,"ADB")+SUMIFS(#REF!,#REF!,"2022",#REF!,'App. 3 (Comm)'!$A19,#REF!,"Asia Pacific Vaccine Access Facility",#REF!,"Special Fund")</f>
        <v>#REF!</v>
      </c>
      <c r="E19" s="10" t="e">
        <f>SUMIFS(#REF!,#REF!,"2022",#REF!,'App. 3 (Comm)'!$A19,#REF!,"COVID19 Pandemic Response Option",#REF!,"ADB")+SUMIFS(#REF!,#REF!,"2022",#REF!,'App. 3 (Comm)'!$A19,#REF!,"COVID19 Pandemic Response Option",#REF!,"Special Fund")</f>
        <v>#REF!</v>
      </c>
      <c r="F19" s="10" t="e">
        <f>SUMIFS(#REF!,#REF!,"2022",#REF!,'App. 3 (Comm)'!$A19,#REF!,"ADB")+SUMIFS(#REF!,#REF!,"2022",#REF!,'App. 3 (Comm)'!$A19,#REF!,"Special Fund")+SUMIFS(#REF!,#REF!,"2022",#REF!,'App. 3 (Comm)'!$A19,#REF!,"TFP (LT)",#REF!,"Revolving Programs")+SUMIFS(#REF!,#REF!,"2022",#REF!,'App. 3 (Comm)'!$A19,#REF!,"MFP (LT)",#REF!,"Revolving Programs")+SUMIFS(#REF!,#REF!,"2022",#REF!,'App. 3 (Comm)'!$A19,#REF!,"SCFP (LT)",#REF!,"Revolving Programs")-E19-D19+SUMIFS(#REF!,#REF!,"2022",#REF!,'App. 3 (Comm)'!$A19,#REF!,"TFP (ST)",#REF!,"Revolving Programs")+SUMIFS(#REF!,#REF!,"2022",#REF!,'App. 3 (Comm)'!$A19,#REF!,"MFP (ST)",#REF!,"Revolving Programs")+SUMIFS(#REF!,#REF!,"2022",#REF!,'App. 3 (Comm)'!$A19,#REF!,"SCFP (ST)",#REF!,"Revolving Programs")</f>
        <v>#REF!</v>
      </c>
      <c r="G19" s="10" t="e">
        <f>SUMIFS(#REF!,#REF!,"2022",#REF!,'App. 3 (Comm)'!$A19,#REF!,"ADB")+SUMIFS(#REF!,#REF!,"2022",#REF!,'App. 3 (Comm)'!$A19,#REF!,"Special Fund")+SUMIFS(#REF!,#REF!,"2022",#REF!,'App. 3 (Comm)'!$A19,#REF!,"TFP (LT)",#REF!,"Revolving Programs")+SUMIFS(#REF!,#REF!,"2022",#REF!,'App. 3 (Comm)'!$A19,#REF!,"MFP (LT)",#REF!,"Revolving Programs")+SUMIFS(#REF!,#REF!,"2022",#REF!,'App. 3 (Comm)'!$A19,#REF!,"SCFP (LT)",#REF!,"Revolving Programs")+SUMIFS(#REF!,#REF!,"2022",#REF!,'App. 3 (Comm)'!$A19,#REF!,"TFP (ST)",#REF!,"Revolving Programs")+SUMIFS(#REF!,#REF!,"2022",#REF!,'App. 3 (Comm)'!$A19,#REF!,"MFP (ST)",#REF!,"Revolving Programs")+SUMIFS(#REF!,#REF!,"2022",#REF!,'App. 3 (Comm)'!$A19,#REF!,"SCFP (ST)",#REF!,"Revolving Programs")</f>
        <v>#REF!</v>
      </c>
      <c r="H19" s="11" t="e">
        <f t="shared" si="0"/>
        <v>#REF!</v>
      </c>
      <c r="I19" s="11" t="e">
        <f>SUMIFS(#REF!,#REF!,"2022",#REF!,'App. 3 (Comm)'!$A19,#REF!,"Asia Pacific Vaccine Access Facility")-D19</f>
        <v>#REF!</v>
      </c>
      <c r="J19" s="11" t="e">
        <f>SUMIFS(#REF!,#REF!,"2022",#REF!,'App. 3 (Comm)'!$A19,#REF!,"COVID19 Pandemic Response Option")-E19</f>
        <v>#REF!</v>
      </c>
      <c r="K19" s="10" t="e">
        <f>SUMIFS(#REF!,#REF!,"2022",#REF!,'App. 3 (Comm)'!$A19)-J19-I19-E19-D19-F19-SUMIFS(#REF!,#REF!,"MFF-ADB",#REF!,"2022",#REF!,'App. 3 (Comm)'!$A19)</f>
        <v>#REF!</v>
      </c>
      <c r="L19" s="10" t="e">
        <f>SUMIFS(#REF!,#REF!,"2022",#REF!,'App. 3 (Comm)'!$A19)-G19-SUMIFS(#REF!,#REF!,"MFF-ADB",#REF!,"2022",#REF!,'App. 3 (Comm)'!$A19)-SUMIFS(#REF!,#REF!,"MFF-Official",#REF!,"2022",#REF!,'App. 3 (Comm)'!$A19)</f>
        <v>#REF!</v>
      </c>
      <c r="M19" s="10" t="e">
        <f t="shared" si="2"/>
        <v>#REF!</v>
      </c>
      <c r="N19" s="10" t="e">
        <f t="shared" si="1"/>
        <v>#REF!</v>
      </c>
    </row>
    <row r="20" spans="1:14">
      <c r="A20" s="3" t="s">
        <v>190</v>
      </c>
      <c r="C20" s="9" t="s">
        <v>14</v>
      </c>
      <c r="D20" s="10" t="e">
        <f>SUMIFS(#REF!,#REF!,"2022",#REF!,'App. 3 (Comm)'!$A20,#REF!,"Asia Pacific Vaccine Access Facility",#REF!,"ADB")+SUMIFS(#REF!,#REF!,"2022",#REF!,'App. 3 (Comm)'!$A20,#REF!,"Asia Pacific Vaccine Access Facility",#REF!,"Special Fund")</f>
        <v>#REF!</v>
      </c>
      <c r="E20" s="10" t="e">
        <f>SUMIFS(#REF!,#REF!,"2022",#REF!,'App. 3 (Comm)'!$A20,#REF!,"COVID19 Pandemic Response Option",#REF!,"ADB")+SUMIFS(#REF!,#REF!,"2022",#REF!,'App. 3 (Comm)'!$A20,#REF!,"COVID19 Pandemic Response Option",#REF!,"Special Fund")</f>
        <v>#REF!</v>
      </c>
      <c r="F20" s="10" t="e">
        <f>SUMIFS(#REF!,#REF!,"2022",#REF!,'App. 3 (Comm)'!$A20,#REF!,"ADB")+SUMIFS(#REF!,#REF!,"2022",#REF!,'App. 3 (Comm)'!$A20,#REF!,"Special Fund")+SUMIFS(#REF!,#REF!,"2022",#REF!,'App. 3 (Comm)'!$A20,#REF!,"TFP (LT)",#REF!,"Revolving Programs")+SUMIFS(#REF!,#REF!,"2022",#REF!,'App. 3 (Comm)'!$A20,#REF!,"MFP (LT)",#REF!,"Revolving Programs")+SUMIFS(#REF!,#REF!,"2022",#REF!,'App. 3 (Comm)'!$A20,#REF!,"SCFP (LT)",#REF!,"Revolving Programs")-E20-D20+SUMIFS(#REF!,#REF!,"2022",#REF!,'App. 3 (Comm)'!$A20,#REF!,"TFP (ST)",#REF!,"Revolving Programs")+SUMIFS(#REF!,#REF!,"2022",#REF!,'App. 3 (Comm)'!$A20,#REF!,"MFP (ST)",#REF!,"Revolving Programs")+SUMIFS(#REF!,#REF!,"2022",#REF!,'App. 3 (Comm)'!$A20,#REF!,"SCFP (ST)",#REF!,"Revolving Programs")</f>
        <v>#REF!</v>
      </c>
      <c r="G20" s="10" t="e">
        <f>SUMIFS(#REF!,#REF!,"2022",#REF!,'App. 3 (Comm)'!$A20,#REF!,"ADB")+SUMIFS(#REF!,#REF!,"2022",#REF!,'App. 3 (Comm)'!$A20,#REF!,"Special Fund")+SUMIFS(#REF!,#REF!,"2022",#REF!,'App. 3 (Comm)'!$A20,#REF!,"TFP (LT)",#REF!,"Revolving Programs")+SUMIFS(#REF!,#REF!,"2022",#REF!,'App. 3 (Comm)'!$A20,#REF!,"MFP (LT)",#REF!,"Revolving Programs")+SUMIFS(#REF!,#REF!,"2022",#REF!,'App. 3 (Comm)'!$A20,#REF!,"SCFP (LT)",#REF!,"Revolving Programs")+SUMIFS(#REF!,#REF!,"2022",#REF!,'App. 3 (Comm)'!$A20,#REF!,"TFP (ST)",#REF!,"Revolving Programs")+SUMIFS(#REF!,#REF!,"2022",#REF!,'App. 3 (Comm)'!$A20,#REF!,"MFP (ST)",#REF!,"Revolving Programs")+SUMIFS(#REF!,#REF!,"2022",#REF!,'App. 3 (Comm)'!$A20,#REF!,"SCFP (ST)",#REF!,"Revolving Programs")</f>
        <v>#REF!</v>
      </c>
      <c r="H20" s="11" t="e">
        <f t="shared" si="0"/>
        <v>#REF!</v>
      </c>
      <c r="I20" s="11" t="e">
        <f>SUMIFS(#REF!,#REF!,"2022",#REF!,'App. 3 (Comm)'!$A20,#REF!,"Asia Pacific Vaccine Access Facility")-D20</f>
        <v>#REF!</v>
      </c>
      <c r="J20" s="11" t="e">
        <f>SUMIFS(#REF!,#REF!,"2022",#REF!,'App. 3 (Comm)'!$A20,#REF!,"COVID19 Pandemic Response Option")-E20</f>
        <v>#REF!</v>
      </c>
      <c r="K20" s="10" t="e">
        <f>SUMIFS(#REF!,#REF!,"2022",#REF!,'App. 3 (Comm)'!$A20)-J20-I20-E20-D20-F20-SUMIFS(#REF!,#REF!,"MFF-ADB",#REF!,"2022",#REF!,'App. 3 (Comm)'!$A20)</f>
        <v>#REF!</v>
      </c>
      <c r="L20" s="10" t="e">
        <f>SUMIFS(#REF!,#REF!,"2022",#REF!,'App. 3 (Comm)'!$A20)-G20-SUMIFS(#REF!,#REF!,"MFF-ADB",#REF!,"2022",#REF!,'App. 3 (Comm)'!$A20)-SUMIFS(#REF!,#REF!,"MFF-Official",#REF!,"2022",#REF!,'App. 3 (Comm)'!$A20)</f>
        <v>#REF!</v>
      </c>
      <c r="M20" s="10" t="e">
        <f t="shared" si="2"/>
        <v>#REF!</v>
      </c>
      <c r="N20" s="10" t="e">
        <f t="shared" si="1"/>
        <v>#REF!</v>
      </c>
    </row>
    <row r="21" spans="1:14">
      <c r="A21" s="3" t="s">
        <v>191</v>
      </c>
      <c r="C21" s="9" t="s">
        <v>25</v>
      </c>
      <c r="D21" s="10" t="e">
        <f>SUMIFS(#REF!,#REF!,"2022",#REF!,'App. 3 (Comm)'!$A21,#REF!,"Asia Pacific Vaccine Access Facility",#REF!,"ADB")+SUMIFS(#REF!,#REF!,"2022",#REF!,'App. 3 (Comm)'!$A21,#REF!,"Asia Pacific Vaccine Access Facility",#REF!,"Special Fund")</f>
        <v>#REF!</v>
      </c>
      <c r="E21" s="10" t="e">
        <f>SUMIFS(#REF!,#REF!,"2022",#REF!,'App. 3 (Comm)'!$A21,#REF!,"COVID19 Pandemic Response Option",#REF!,"ADB")+SUMIFS(#REF!,#REF!,"2022",#REF!,'App. 3 (Comm)'!$A21,#REF!,"COVID19 Pandemic Response Option",#REF!,"Special Fund")</f>
        <v>#REF!</v>
      </c>
      <c r="F21" s="10" t="e">
        <f>SUMIFS(#REF!,#REF!,"2022",#REF!,'App. 3 (Comm)'!$A21,#REF!,"ADB")+SUMIFS(#REF!,#REF!,"2022",#REF!,'App. 3 (Comm)'!$A21,#REF!,"Special Fund")+SUMIFS(#REF!,#REF!,"2022",#REF!,'App. 3 (Comm)'!$A21,#REF!,"TFP (LT)",#REF!,"Revolving Programs")+SUMIFS(#REF!,#REF!,"2022",#REF!,'App. 3 (Comm)'!$A21,#REF!,"MFP (LT)",#REF!,"Revolving Programs")+SUMIFS(#REF!,#REF!,"2022",#REF!,'App. 3 (Comm)'!$A21,#REF!,"SCFP (LT)",#REF!,"Revolving Programs")-E21-D21+SUMIFS(#REF!,#REF!,"2022",#REF!,'App. 3 (Comm)'!$A21,#REF!,"TFP (ST)",#REF!,"Revolving Programs")+SUMIFS(#REF!,#REF!,"2022",#REF!,'App. 3 (Comm)'!$A21,#REF!,"MFP (ST)",#REF!,"Revolving Programs")+SUMIFS(#REF!,#REF!,"2022",#REF!,'App. 3 (Comm)'!$A21,#REF!,"SCFP (ST)",#REF!,"Revolving Programs")</f>
        <v>#REF!</v>
      </c>
      <c r="G21" s="10" t="e">
        <f>SUMIFS(#REF!,#REF!,"2022",#REF!,'App. 3 (Comm)'!$A21,#REF!,"ADB")+SUMIFS(#REF!,#REF!,"2022",#REF!,'App. 3 (Comm)'!$A21,#REF!,"Special Fund")+SUMIFS(#REF!,#REF!,"2022",#REF!,'App. 3 (Comm)'!$A21,#REF!,"TFP (LT)",#REF!,"Revolving Programs")+SUMIFS(#REF!,#REF!,"2022",#REF!,'App. 3 (Comm)'!$A21,#REF!,"MFP (LT)",#REF!,"Revolving Programs")+SUMIFS(#REF!,#REF!,"2022",#REF!,'App. 3 (Comm)'!$A21,#REF!,"SCFP (LT)",#REF!,"Revolving Programs")+SUMIFS(#REF!,#REF!,"2022",#REF!,'App. 3 (Comm)'!$A21,#REF!,"TFP (ST)",#REF!,"Revolving Programs")+SUMIFS(#REF!,#REF!,"2022",#REF!,'App. 3 (Comm)'!$A21,#REF!,"MFP (ST)",#REF!,"Revolving Programs")+SUMIFS(#REF!,#REF!,"2022",#REF!,'App. 3 (Comm)'!$A21,#REF!,"SCFP (ST)",#REF!,"Revolving Programs")</f>
        <v>#REF!</v>
      </c>
      <c r="H21" s="11" t="e">
        <f t="shared" si="0"/>
        <v>#REF!</v>
      </c>
      <c r="I21" s="11" t="e">
        <f>SUMIFS(#REF!,#REF!,"2022",#REF!,'App. 3 (Comm)'!$A21,#REF!,"Asia Pacific Vaccine Access Facility")-D21</f>
        <v>#REF!</v>
      </c>
      <c r="J21" s="11" t="e">
        <f>SUMIFS(#REF!,#REF!,"2022",#REF!,'App. 3 (Comm)'!$A21,#REF!,"COVID19 Pandemic Response Option")-E21</f>
        <v>#REF!</v>
      </c>
      <c r="K21" s="10" t="e">
        <f>SUMIFS(#REF!,#REF!,"2022",#REF!,'App. 3 (Comm)'!$A21)-J21-I21-E21-D21-F21-SUMIFS(#REF!,#REF!,"MFF-ADB",#REF!,"2022",#REF!,'App. 3 (Comm)'!$A21)</f>
        <v>#REF!</v>
      </c>
      <c r="L21" s="10" t="e">
        <f>SUMIFS(#REF!,#REF!,"2022",#REF!,'App. 3 (Comm)'!$A21)-G21-SUMIFS(#REF!,#REF!,"MFF-ADB",#REF!,"2022",#REF!,'App. 3 (Comm)'!$A21)-SUMIFS(#REF!,#REF!,"MFF-Official",#REF!,"2022",#REF!,'App. 3 (Comm)'!$A21)</f>
        <v>#REF!</v>
      </c>
      <c r="M21" s="10" t="e">
        <f t="shared" si="2"/>
        <v>#REF!</v>
      </c>
      <c r="N21" s="10" t="e">
        <f t="shared" si="1"/>
        <v>#REF!</v>
      </c>
    </row>
    <row r="22" spans="1:14">
      <c r="A22" s="3" t="s">
        <v>192</v>
      </c>
      <c r="C22" s="9" t="s">
        <v>33</v>
      </c>
      <c r="D22" s="10" t="e">
        <f>SUMIFS(#REF!,#REF!,"2022",#REF!,'App. 3 (Comm)'!$A22,#REF!,"Asia Pacific Vaccine Access Facility",#REF!,"ADB")+SUMIFS(#REF!,#REF!,"2022",#REF!,'App. 3 (Comm)'!$A22,#REF!,"Asia Pacific Vaccine Access Facility",#REF!,"Special Fund")</f>
        <v>#REF!</v>
      </c>
      <c r="E22" s="10" t="e">
        <f>SUMIFS(#REF!,#REF!,"2022",#REF!,'App. 3 (Comm)'!$A22,#REF!,"COVID19 Pandemic Response Option",#REF!,"ADB")+SUMIFS(#REF!,#REF!,"2022",#REF!,'App. 3 (Comm)'!$A22,#REF!,"COVID19 Pandemic Response Option",#REF!,"Special Fund")</f>
        <v>#REF!</v>
      </c>
      <c r="F22" s="10" t="e">
        <f>SUMIFS(#REF!,#REF!,"2022",#REF!,'App. 3 (Comm)'!$A22,#REF!,"ADB")+SUMIFS(#REF!,#REF!,"2022",#REF!,'App. 3 (Comm)'!$A22,#REF!,"Special Fund")+SUMIFS(#REF!,#REF!,"2022",#REF!,'App. 3 (Comm)'!$A22,#REF!,"TFP (LT)",#REF!,"Revolving Programs")+SUMIFS(#REF!,#REF!,"2022",#REF!,'App. 3 (Comm)'!$A22,#REF!,"MFP (LT)",#REF!,"Revolving Programs")+SUMIFS(#REF!,#REF!,"2022",#REF!,'App. 3 (Comm)'!$A22,#REF!,"SCFP (LT)",#REF!,"Revolving Programs")-E22-D22+SUMIFS(#REF!,#REF!,"2022",#REF!,'App. 3 (Comm)'!$A22,#REF!,"TFP (ST)",#REF!,"Revolving Programs")+SUMIFS(#REF!,#REF!,"2022",#REF!,'App. 3 (Comm)'!$A22,#REF!,"MFP (ST)",#REF!,"Revolving Programs")+SUMIFS(#REF!,#REF!,"2022",#REF!,'App. 3 (Comm)'!$A22,#REF!,"SCFP (ST)",#REF!,"Revolving Programs")</f>
        <v>#REF!</v>
      </c>
      <c r="G22" s="10" t="e">
        <f>SUMIFS(#REF!,#REF!,"2022",#REF!,'App. 3 (Comm)'!$A22,#REF!,"ADB")+SUMIFS(#REF!,#REF!,"2022",#REF!,'App. 3 (Comm)'!$A22,#REF!,"Special Fund")+SUMIFS(#REF!,#REF!,"2022",#REF!,'App. 3 (Comm)'!$A22,#REF!,"TFP (LT)",#REF!,"Revolving Programs")+SUMIFS(#REF!,#REF!,"2022",#REF!,'App. 3 (Comm)'!$A22,#REF!,"MFP (LT)",#REF!,"Revolving Programs")+SUMIFS(#REF!,#REF!,"2022",#REF!,'App. 3 (Comm)'!$A22,#REF!,"SCFP (LT)",#REF!,"Revolving Programs")+SUMIFS(#REF!,#REF!,"2022",#REF!,'App. 3 (Comm)'!$A22,#REF!,"TFP (ST)",#REF!,"Revolving Programs")+SUMIFS(#REF!,#REF!,"2022",#REF!,'App. 3 (Comm)'!$A22,#REF!,"MFP (ST)",#REF!,"Revolving Programs")+SUMIFS(#REF!,#REF!,"2022",#REF!,'App. 3 (Comm)'!$A22,#REF!,"SCFP (ST)",#REF!,"Revolving Programs")</f>
        <v>#REF!</v>
      </c>
      <c r="H22" s="11" t="e">
        <f t="shared" si="0"/>
        <v>#REF!</v>
      </c>
      <c r="I22" s="11" t="e">
        <f>SUMIFS(#REF!,#REF!,"2022",#REF!,'App. 3 (Comm)'!$A22,#REF!,"Asia Pacific Vaccine Access Facility")-D22</f>
        <v>#REF!</v>
      </c>
      <c r="J22" s="11" t="e">
        <f>SUMIFS(#REF!,#REF!,"2022",#REF!,'App. 3 (Comm)'!$A22,#REF!,"COVID19 Pandemic Response Option")-E22</f>
        <v>#REF!</v>
      </c>
      <c r="K22" s="10" t="e">
        <f>SUMIFS(#REF!,#REF!,"2022",#REF!,'App. 3 (Comm)'!$A22)-J22-I22-E22-D22-F22-SUMIFS(#REF!,#REF!,"MFF-ADB",#REF!,"2022",#REF!,'App. 3 (Comm)'!$A22)</f>
        <v>#REF!</v>
      </c>
      <c r="L22" s="10" t="e">
        <f>SUMIFS(#REF!,#REF!,"2022",#REF!,'App. 3 (Comm)'!$A22)-G22-SUMIFS(#REF!,#REF!,"MFF-ADB",#REF!,"2022",#REF!,'App. 3 (Comm)'!$A22)-SUMIFS(#REF!,#REF!,"MFF-Official",#REF!,"2022",#REF!,'App. 3 (Comm)'!$A22)</f>
        <v>#REF!</v>
      </c>
      <c r="M22" s="10" t="e">
        <f t="shared" si="2"/>
        <v>#REF!</v>
      </c>
      <c r="N22" s="10" t="e">
        <f t="shared" si="1"/>
        <v>#REF!</v>
      </c>
    </row>
    <row r="23" spans="1:14">
      <c r="A23" s="3" t="s">
        <v>193</v>
      </c>
      <c r="C23" s="9" t="s">
        <v>37</v>
      </c>
      <c r="D23" s="10" t="e">
        <f>SUMIFS(#REF!,#REF!,"2022",#REF!,'App. 3 (Comm)'!$A23,#REF!,"Asia Pacific Vaccine Access Facility",#REF!,"ADB")+SUMIFS(#REF!,#REF!,"2022",#REF!,'App. 3 (Comm)'!$A23,#REF!,"Asia Pacific Vaccine Access Facility",#REF!,"Special Fund")</f>
        <v>#REF!</v>
      </c>
      <c r="E23" s="10" t="e">
        <f>SUMIFS(#REF!,#REF!,"2022",#REF!,'App. 3 (Comm)'!$A23,#REF!,"COVID19 Pandemic Response Option",#REF!,"ADB")+SUMIFS(#REF!,#REF!,"2022",#REF!,'App. 3 (Comm)'!$A23,#REF!,"COVID19 Pandemic Response Option",#REF!,"Special Fund")</f>
        <v>#REF!</v>
      </c>
      <c r="F23" s="10" t="e">
        <f>SUMIFS(#REF!,#REF!,"2022",#REF!,'App. 3 (Comm)'!$A23,#REF!,"ADB")+SUMIFS(#REF!,#REF!,"2022",#REF!,'App. 3 (Comm)'!$A23,#REF!,"Special Fund")+SUMIFS(#REF!,#REF!,"2022",#REF!,'App. 3 (Comm)'!$A23,#REF!,"TFP (LT)",#REF!,"Revolving Programs")+SUMIFS(#REF!,#REF!,"2022",#REF!,'App. 3 (Comm)'!$A23,#REF!,"MFP (LT)",#REF!,"Revolving Programs")+SUMIFS(#REF!,#REF!,"2022",#REF!,'App. 3 (Comm)'!$A23,#REF!,"SCFP (LT)",#REF!,"Revolving Programs")-E23-D23+SUMIFS(#REF!,#REF!,"2022",#REF!,'App. 3 (Comm)'!$A23,#REF!,"TFP (ST)",#REF!,"Revolving Programs")+SUMIFS(#REF!,#REF!,"2022",#REF!,'App. 3 (Comm)'!$A23,#REF!,"MFP (ST)",#REF!,"Revolving Programs")+SUMIFS(#REF!,#REF!,"2022",#REF!,'App. 3 (Comm)'!$A23,#REF!,"SCFP (ST)",#REF!,"Revolving Programs")</f>
        <v>#REF!</v>
      </c>
      <c r="G23" s="10" t="e">
        <f>SUMIFS(#REF!,#REF!,"2022",#REF!,'App. 3 (Comm)'!$A23,#REF!,"ADB")+SUMIFS(#REF!,#REF!,"2022",#REF!,'App. 3 (Comm)'!$A23,#REF!,"Special Fund")+SUMIFS(#REF!,#REF!,"2022",#REF!,'App. 3 (Comm)'!$A23,#REF!,"TFP (LT)",#REF!,"Revolving Programs")+SUMIFS(#REF!,#REF!,"2022",#REF!,'App. 3 (Comm)'!$A23,#REF!,"MFP (LT)",#REF!,"Revolving Programs")+SUMIFS(#REF!,#REF!,"2022",#REF!,'App. 3 (Comm)'!$A23,#REF!,"SCFP (LT)",#REF!,"Revolving Programs")+SUMIFS(#REF!,#REF!,"2022",#REF!,'App. 3 (Comm)'!$A23,#REF!,"TFP (ST)",#REF!,"Revolving Programs")+SUMIFS(#REF!,#REF!,"2022",#REF!,'App. 3 (Comm)'!$A23,#REF!,"MFP (ST)",#REF!,"Revolving Programs")+SUMIFS(#REF!,#REF!,"2022",#REF!,'App. 3 (Comm)'!$A23,#REF!,"SCFP (ST)",#REF!,"Revolving Programs")</f>
        <v>#REF!</v>
      </c>
      <c r="H23" s="11" t="e">
        <f t="shared" si="0"/>
        <v>#REF!</v>
      </c>
      <c r="I23" s="11" t="e">
        <f>SUMIFS(#REF!,#REF!,"2022",#REF!,'App. 3 (Comm)'!$A23,#REF!,"Asia Pacific Vaccine Access Facility")-D23</f>
        <v>#REF!</v>
      </c>
      <c r="J23" s="11" t="e">
        <f>SUMIFS(#REF!,#REF!,"2022",#REF!,'App. 3 (Comm)'!$A23,#REF!,"COVID19 Pandemic Response Option")-E23</f>
        <v>#REF!</v>
      </c>
      <c r="K23" s="10" t="e">
        <f>SUMIFS(#REF!,#REF!,"2022",#REF!,'App. 3 (Comm)'!$A23)-J23-I23-E23-D23-F23-SUMIFS(#REF!,#REF!,"MFF-ADB",#REF!,"2022",#REF!,'App. 3 (Comm)'!$A23)</f>
        <v>#REF!</v>
      </c>
      <c r="L23" s="10" t="e">
        <f>SUMIFS(#REF!,#REF!,"2022",#REF!,'App. 3 (Comm)'!$A23)-G23-SUMIFS(#REF!,#REF!,"MFF-ADB",#REF!,"2022",#REF!,'App. 3 (Comm)'!$A23)-SUMIFS(#REF!,#REF!,"MFF-Official",#REF!,"2022",#REF!,'App. 3 (Comm)'!$A23)</f>
        <v>#REF!</v>
      </c>
      <c r="M23" s="10" t="e">
        <f t="shared" si="2"/>
        <v>#REF!</v>
      </c>
      <c r="N23" s="10" t="e">
        <f t="shared" si="1"/>
        <v>#REF!</v>
      </c>
    </row>
    <row r="24" spans="1:14">
      <c r="A24" s="3" t="s">
        <v>194</v>
      </c>
      <c r="C24" s="15" t="s">
        <v>46</v>
      </c>
      <c r="D24" s="10" t="e">
        <f>SUMIFS(#REF!,#REF!,"2022",#REF!,'App. 3 (Comm)'!$A24,#REF!,"Asia Pacific Vaccine Access Facility",#REF!,"ADB")+SUMIFS(#REF!,#REF!,"2022",#REF!,'App. 3 (Comm)'!$A24,#REF!,"Asia Pacific Vaccine Access Facility",#REF!,"Special Fund")</f>
        <v>#REF!</v>
      </c>
      <c r="E24" s="10" t="e">
        <f>SUMIFS(#REF!,#REF!,"2022",#REF!,'App. 3 (Comm)'!$A24,#REF!,"COVID19 Pandemic Response Option",#REF!,"ADB")+SUMIFS(#REF!,#REF!,"2022",#REF!,'App. 3 (Comm)'!$A24,#REF!,"COVID19 Pandemic Response Option",#REF!,"Special Fund")</f>
        <v>#REF!</v>
      </c>
      <c r="F24" s="10" t="e">
        <f>SUMIFS(#REF!,#REF!,"2022",#REF!,'App. 3 (Comm)'!$A24,#REF!,"ADB")+SUMIFS(#REF!,#REF!,"2022",#REF!,'App. 3 (Comm)'!$A24,#REF!,"Special Fund")+SUMIFS(#REF!,#REF!,"2022",#REF!,'App. 3 (Comm)'!$A24,#REF!,"TFP (LT)",#REF!,"Revolving Programs")+SUMIFS(#REF!,#REF!,"2022",#REF!,'App. 3 (Comm)'!$A24,#REF!,"MFP (LT)",#REF!,"Revolving Programs")+SUMIFS(#REF!,#REF!,"2022",#REF!,'App. 3 (Comm)'!$A24,#REF!,"SCFP (LT)",#REF!,"Revolving Programs")-E24-D24+SUMIFS(#REF!,#REF!,"2022",#REF!,'App. 3 (Comm)'!$A24,#REF!,"TFP (ST)",#REF!,"Revolving Programs")+SUMIFS(#REF!,#REF!,"2022",#REF!,'App. 3 (Comm)'!$A24,#REF!,"MFP (ST)",#REF!,"Revolving Programs")+SUMIFS(#REF!,#REF!,"2022",#REF!,'App. 3 (Comm)'!$A24,#REF!,"SCFP (ST)",#REF!,"Revolving Programs")</f>
        <v>#REF!</v>
      </c>
      <c r="G24" s="10" t="e">
        <f>SUMIFS(#REF!,#REF!,"2022",#REF!,'App. 3 (Comm)'!$A24,#REF!,"ADB")+SUMIFS(#REF!,#REF!,"2022",#REF!,'App. 3 (Comm)'!$A24,#REF!,"Special Fund")+SUMIFS(#REF!,#REF!,"2022",#REF!,'App. 3 (Comm)'!$A24,#REF!,"TFP (LT)",#REF!,"Revolving Programs")+SUMIFS(#REF!,#REF!,"2022",#REF!,'App. 3 (Comm)'!$A24,#REF!,"MFP (LT)",#REF!,"Revolving Programs")+SUMIFS(#REF!,#REF!,"2022",#REF!,'App. 3 (Comm)'!$A24,#REF!,"SCFP (LT)",#REF!,"Revolving Programs")+SUMIFS(#REF!,#REF!,"2022",#REF!,'App. 3 (Comm)'!$A24,#REF!,"TFP (ST)",#REF!,"Revolving Programs")+SUMIFS(#REF!,#REF!,"2022",#REF!,'App. 3 (Comm)'!$A24,#REF!,"MFP (ST)",#REF!,"Revolving Programs")+SUMIFS(#REF!,#REF!,"2022",#REF!,'App. 3 (Comm)'!$A24,#REF!,"SCFP (ST)",#REF!,"Revolving Programs")</f>
        <v>#REF!</v>
      </c>
      <c r="H24" s="11" t="e">
        <f t="shared" si="0"/>
        <v>#REF!</v>
      </c>
      <c r="I24" s="11" t="e">
        <f>SUMIFS(#REF!,#REF!,"2022",#REF!,'App. 3 (Comm)'!$A24,#REF!,"Asia Pacific Vaccine Access Facility")-D24</f>
        <v>#REF!</v>
      </c>
      <c r="J24" s="11" t="e">
        <f>SUMIFS(#REF!,#REF!,"2022",#REF!,'App. 3 (Comm)'!$A24,#REF!,"COVID19 Pandemic Response Option")-E24</f>
        <v>#REF!</v>
      </c>
      <c r="K24" s="10" t="e">
        <f>SUMIFS(#REF!,#REF!,"2022",#REF!,'App. 3 (Comm)'!$A24)-J24-I24-E24-D24-F24-SUMIFS(#REF!,#REF!,"MFF-ADB",#REF!,"2022",#REF!,'App. 3 (Comm)'!$A24)</f>
        <v>#REF!</v>
      </c>
      <c r="L24" s="10" t="e">
        <f>SUMIFS(#REF!,#REF!,"2022",#REF!,'App. 3 (Comm)'!$A24)-G24-SUMIFS(#REF!,#REF!,"MFF-ADB",#REF!,"2022",#REF!,'App. 3 (Comm)'!$A24)-SUMIFS(#REF!,#REF!,"MFF-Official",#REF!,"2022",#REF!,'App. 3 (Comm)'!$A24)</f>
        <v>#REF!</v>
      </c>
      <c r="M24" s="10" t="e">
        <f t="shared" si="2"/>
        <v>#REF!</v>
      </c>
      <c r="N24" s="10" t="e">
        <f t="shared" si="1"/>
        <v>#REF!</v>
      </c>
    </row>
    <row r="25" spans="1:14" ht="15">
      <c r="C25" s="6" t="s">
        <v>195</v>
      </c>
      <c r="D25" s="17" t="e">
        <f>SUM(D26:D30)</f>
        <v>#REF!</v>
      </c>
      <c r="E25" s="17" t="e">
        <f>SUM(E26:E30)</f>
        <v>#REF!</v>
      </c>
      <c r="F25" s="17" t="e">
        <f>SUM(F26:F30)</f>
        <v>#REF!</v>
      </c>
      <c r="G25" s="17" t="e">
        <f>SUM(G26:G30)</f>
        <v>#REF!</v>
      </c>
      <c r="H25" s="7" t="e">
        <f t="shared" si="0"/>
        <v>#REF!</v>
      </c>
      <c r="I25" s="17" t="e">
        <f>SUM(I26:I30)</f>
        <v>#REF!</v>
      </c>
      <c r="J25" s="17" t="e">
        <f>SUM(J26:J30)</f>
        <v>#REF!</v>
      </c>
      <c r="K25" s="17" t="e">
        <f>SUM(K26:K30)</f>
        <v>#REF!</v>
      </c>
      <c r="L25" s="17" t="e">
        <f>SUM(L26:L30)</f>
        <v>#REF!</v>
      </c>
      <c r="M25" s="17" t="e">
        <f t="shared" si="2"/>
        <v>#REF!</v>
      </c>
      <c r="N25" s="17" t="e">
        <f t="shared" si="1"/>
        <v>#REF!</v>
      </c>
    </row>
    <row r="26" spans="1:14">
      <c r="A26" s="3" t="s">
        <v>196</v>
      </c>
      <c r="C26" s="9" t="s">
        <v>18</v>
      </c>
      <c r="D26" s="10" t="e">
        <f>SUMIFS(#REF!,#REF!,"2022",#REF!,'App. 3 (Comm)'!$A26,#REF!,"Asia Pacific Vaccine Access Facility",#REF!,"ADB")+SUMIFS(#REF!,#REF!,"2022",#REF!,'App. 3 (Comm)'!$A26,#REF!,"Asia Pacific Vaccine Access Facility",#REF!,"Special Fund")</f>
        <v>#REF!</v>
      </c>
      <c r="E26" s="10" t="e">
        <f>SUMIFS(#REF!,#REF!,"2022",#REF!,'App. 3 (Comm)'!$A26,#REF!,"COVID19 Pandemic Response Option",#REF!,"ADB")+SUMIFS(#REF!,#REF!,"2022",#REF!,'App. 3 (Comm)'!$A26,#REF!,"COVID19 Pandemic Response Option",#REF!,"Special Fund")</f>
        <v>#REF!</v>
      </c>
      <c r="F26" s="10" t="e">
        <f>SUMIFS(#REF!,#REF!,"2022",#REF!,'App. 3 (Comm)'!$A26,#REF!,"ADB")+SUMIFS(#REF!,#REF!,"2022",#REF!,'App. 3 (Comm)'!$A26,#REF!,"Special Fund")+SUMIFS(#REF!,#REF!,"2022",#REF!,'App. 3 (Comm)'!$A26,#REF!,"TFP (LT)",#REF!,"Revolving Programs")+SUMIFS(#REF!,#REF!,"2022",#REF!,'App. 3 (Comm)'!$A26,#REF!,"MFP (LT)",#REF!,"Revolving Programs")+SUMIFS(#REF!,#REF!,"2022",#REF!,'App. 3 (Comm)'!$A26,#REF!,"SCFP (LT)",#REF!,"Revolving Programs")-E26-D26+SUMIFS(#REF!,#REF!,"2022",#REF!,'App. 3 (Comm)'!$A26,#REF!,"TFP (ST)",#REF!,"Revolving Programs")+SUMIFS(#REF!,#REF!,"2022",#REF!,'App. 3 (Comm)'!$A26,#REF!,"MFP (ST)",#REF!,"Revolving Programs")+SUMIFS(#REF!,#REF!,"2022",#REF!,'App. 3 (Comm)'!$A26,#REF!,"SCFP (ST)",#REF!,"Revolving Programs")</f>
        <v>#REF!</v>
      </c>
      <c r="G26" s="10" t="e">
        <f>SUMIFS(#REF!,#REF!,"2022",#REF!,'App. 3 (Comm)'!$A26,#REF!,"ADB")+SUMIFS(#REF!,#REF!,"2022",#REF!,'App. 3 (Comm)'!$A26,#REF!,"Special Fund")+SUMIFS(#REF!,#REF!,"2022",#REF!,'App. 3 (Comm)'!$A26,#REF!,"TFP (LT)",#REF!,"Revolving Programs")+SUMIFS(#REF!,#REF!,"2022",#REF!,'App. 3 (Comm)'!$A26,#REF!,"MFP (LT)",#REF!,"Revolving Programs")+SUMIFS(#REF!,#REF!,"2022",#REF!,'App. 3 (Comm)'!$A26,#REF!,"SCFP (LT)",#REF!,"Revolving Programs")+SUMIFS(#REF!,#REF!,"2022",#REF!,'App. 3 (Comm)'!$A26,#REF!,"TFP (ST)",#REF!,"Revolving Programs")+SUMIFS(#REF!,#REF!,"2022",#REF!,'App. 3 (Comm)'!$A26,#REF!,"MFP (ST)",#REF!,"Revolving Programs")+SUMIFS(#REF!,#REF!,"2022",#REF!,'App. 3 (Comm)'!$A26,#REF!,"SCFP (ST)",#REF!,"Revolving Programs")</f>
        <v>#REF!</v>
      </c>
      <c r="H26" s="11" t="e">
        <f t="shared" si="0"/>
        <v>#REF!</v>
      </c>
      <c r="I26" s="11" t="e">
        <f>SUMIFS(#REF!,#REF!,"2022",#REF!,'App. 3 (Comm)'!$A26,#REF!,"Asia Pacific Vaccine Access Facility")-D26</f>
        <v>#REF!</v>
      </c>
      <c r="J26" s="11" t="e">
        <f>SUMIFS(#REF!,#REF!,"2022",#REF!,'App. 3 (Comm)'!$A26,#REF!,"COVID19 Pandemic Response Option")-E26</f>
        <v>#REF!</v>
      </c>
      <c r="K26" s="10" t="e">
        <f>SUMIFS(#REF!,#REF!,"2022",#REF!,'App. 3 (Comm)'!$A26)-J26-I26-E26-D26-F26-SUMIFS(#REF!,#REF!,"MFF-ADB",#REF!,"2022",#REF!,'App. 3 (Comm)'!$A26)</f>
        <v>#REF!</v>
      </c>
      <c r="L26" s="10" t="e">
        <f>SUMIFS(#REF!,#REF!,"2022",#REF!,'App. 3 (Comm)'!$A26)-G26-SUMIFS(#REF!,#REF!,"MFF-ADB",#REF!,"2022",#REF!,'App. 3 (Comm)'!$A26)-SUMIFS(#REF!,#REF!,"MFF-Official",#REF!,"2022",#REF!,'App. 3 (Comm)'!$A26)</f>
        <v>#REF!</v>
      </c>
      <c r="M26" s="10" t="e">
        <f t="shared" si="2"/>
        <v>#REF!</v>
      </c>
      <c r="N26" s="10" t="e">
        <f t="shared" si="1"/>
        <v>#REF!</v>
      </c>
    </row>
    <row r="27" spans="1:14" hidden="1">
      <c r="A27" s="3" t="s">
        <v>280</v>
      </c>
      <c r="C27" s="9" t="s">
        <v>107</v>
      </c>
      <c r="D27" s="10" t="e">
        <f>SUMIFS(#REF!,#REF!,"2022",#REF!,'App. 3 (Comm)'!$A27,#REF!,"Asia Pacific Vaccine Access Facility",#REF!,"ADB")+SUMIFS(#REF!,#REF!,"2022",#REF!,'App. 3 (Comm)'!$A27,#REF!,"Asia Pacific Vaccine Access Facility",#REF!,"Special Fund")</f>
        <v>#REF!</v>
      </c>
      <c r="E27" s="10" t="e">
        <f>SUMIFS(#REF!,#REF!,"2022",#REF!,'App. 3 (Comm)'!$A27,#REF!,"COVID19 Pandemic Response Option",#REF!,"ADB")+SUMIFS(#REF!,#REF!,"2022",#REF!,'App. 3 (Comm)'!$A27,#REF!,"COVID19 Pandemic Response Option",#REF!,"Special Fund")</f>
        <v>#REF!</v>
      </c>
      <c r="F27" s="10" t="e">
        <f>SUMIFS(#REF!,#REF!,"2022",#REF!,'App. 3 (Comm)'!$A27,#REF!,"ADB")+SUMIFS(#REF!,#REF!,"2022",#REF!,'App. 3 (Comm)'!$A27,#REF!,"Special Fund")+SUMIFS(#REF!,#REF!,"2022",#REF!,'App. 3 (Comm)'!$A27,#REF!,"TFP (LT)",#REF!,"Revolving Programs")+SUMIFS(#REF!,#REF!,"2022",#REF!,'App. 3 (Comm)'!$A27,#REF!,"MFP (LT)",#REF!,"Revolving Programs")+SUMIFS(#REF!,#REF!,"2022",#REF!,'App. 3 (Comm)'!$A27,#REF!,"SCFP (LT)",#REF!,"Revolving Programs")-E27-D27+SUMIFS(#REF!,#REF!,"2022",#REF!,'App. 3 (Comm)'!$A27,#REF!,"TFP (ST)",#REF!,"Revolving Programs")+SUMIFS(#REF!,#REF!,"2022",#REF!,'App. 3 (Comm)'!$A27,#REF!,"MFP (ST)",#REF!,"Revolving Programs")+SUMIFS(#REF!,#REF!,"2022",#REF!,'App. 3 (Comm)'!$A27,#REF!,"SCFP (ST)",#REF!,"Revolving Programs")</f>
        <v>#REF!</v>
      </c>
      <c r="G27" s="10" t="e">
        <f>SUMIFS(#REF!,#REF!,"2022",#REF!,'App. 3 (Comm)'!$A27,#REF!,"ADB")+SUMIFS(#REF!,#REF!,"2022",#REF!,'App. 3 (Comm)'!$A27,#REF!,"Special Fund")+SUMIFS(#REF!,#REF!,"2022",#REF!,'App. 3 (Comm)'!$A27,#REF!,"TFP (LT)",#REF!,"Revolving Programs")+SUMIFS(#REF!,#REF!,"2022",#REF!,'App. 3 (Comm)'!$A27,#REF!,"MFP (LT)",#REF!,"Revolving Programs")+SUMIFS(#REF!,#REF!,"2022",#REF!,'App. 3 (Comm)'!$A27,#REF!,"SCFP (LT)",#REF!,"Revolving Programs")+SUMIFS(#REF!,#REF!,"2022",#REF!,'App. 3 (Comm)'!$A27,#REF!,"TFP (ST)",#REF!,"Revolving Programs")+SUMIFS(#REF!,#REF!,"2022",#REF!,'App. 3 (Comm)'!$A27,#REF!,"MFP (ST)",#REF!,"Revolving Programs")+SUMIFS(#REF!,#REF!,"2022",#REF!,'App. 3 (Comm)'!$A27,#REF!,"SCFP (ST)",#REF!,"Revolving Programs")</f>
        <v>#REF!</v>
      </c>
      <c r="H27" s="11" t="e">
        <f t="shared" si="0"/>
        <v>#REF!</v>
      </c>
      <c r="I27" s="11" t="e">
        <f>SUMIFS(#REF!,#REF!,"2022",#REF!,'App. 3 (Comm)'!$A27,#REF!,"Asia Pacific Vaccine Access Facility")-D27</f>
        <v>#REF!</v>
      </c>
      <c r="J27" s="11" t="e">
        <f>SUMIFS(#REF!,#REF!,"2022",#REF!,'App. 3 (Comm)'!$A27,#REF!,"COVID19 Pandemic Response Option")-E27</f>
        <v>#REF!</v>
      </c>
      <c r="K27" s="10" t="e">
        <f>SUMIFS(#REF!,#REF!,"2022",#REF!,'App. 3 (Comm)'!$A27)-J27-I27-E27-D27-F27-SUMIFS(#REF!,#REF!,"MFF-ADB",#REF!,"2022",#REF!,'App. 3 (Comm)'!$A27)</f>
        <v>#REF!</v>
      </c>
      <c r="L27" s="10" t="e">
        <f>SUMIFS(#REF!,#REF!,"2022",#REF!,'App. 3 (Comm)'!$A27)-G27-SUMIFS(#REF!,#REF!,"MFF-ADB",#REF!,"2022",#REF!,'App. 3 (Comm)'!$A27)-SUMIFS(#REF!,#REF!,"MFF-Official",#REF!,"2022",#REF!,'App. 3 (Comm)'!$A27)</f>
        <v>#REF!</v>
      </c>
      <c r="M27" s="10" t="e">
        <f t="shared" si="2"/>
        <v>#REF!</v>
      </c>
      <c r="N27" s="10" t="e">
        <f t="shared" si="1"/>
        <v>#REF!</v>
      </c>
    </row>
    <row r="28" spans="1:14" hidden="1">
      <c r="A28" s="3" t="s">
        <v>281</v>
      </c>
      <c r="C28" s="9" t="s">
        <v>108</v>
      </c>
      <c r="D28" s="10" t="e">
        <f>SUMIFS(#REF!,#REF!,"2022",#REF!,'App. 3 (Comm)'!$A28,#REF!,"Asia Pacific Vaccine Access Facility",#REF!,"ADB")+SUMIFS(#REF!,#REF!,"2022",#REF!,'App. 3 (Comm)'!$A28,#REF!,"Asia Pacific Vaccine Access Facility",#REF!,"Special Fund")</f>
        <v>#REF!</v>
      </c>
      <c r="E28" s="10" t="e">
        <f>SUMIFS(#REF!,#REF!,"2022",#REF!,'App. 3 (Comm)'!$A28,#REF!,"COVID19 Pandemic Response Option",#REF!,"ADB")+SUMIFS(#REF!,#REF!,"2022",#REF!,'App. 3 (Comm)'!$A28,#REF!,"COVID19 Pandemic Response Option",#REF!,"Special Fund")</f>
        <v>#REF!</v>
      </c>
      <c r="F28" s="10" t="e">
        <f>SUMIFS(#REF!,#REF!,"2022",#REF!,'App. 3 (Comm)'!$A28,#REF!,"ADB")+SUMIFS(#REF!,#REF!,"2022",#REF!,'App. 3 (Comm)'!$A28,#REF!,"Special Fund")+SUMIFS(#REF!,#REF!,"2022",#REF!,'App. 3 (Comm)'!$A28,#REF!,"TFP (LT)",#REF!,"Revolving Programs")+SUMIFS(#REF!,#REF!,"2022",#REF!,'App. 3 (Comm)'!$A28,#REF!,"MFP (LT)",#REF!,"Revolving Programs")+SUMIFS(#REF!,#REF!,"2022",#REF!,'App. 3 (Comm)'!$A28,#REF!,"SCFP (LT)",#REF!,"Revolving Programs")-E28-D28+SUMIFS(#REF!,#REF!,"2022",#REF!,'App. 3 (Comm)'!$A28,#REF!,"TFP (ST)",#REF!,"Revolving Programs")+SUMIFS(#REF!,#REF!,"2022",#REF!,'App. 3 (Comm)'!$A28,#REF!,"MFP (ST)",#REF!,"Revolving Programs")+SUMIFS(#REF!,#REF!,"2022",#REF!,'App. 3 (Comm)'!$A28,#REF!,"SCFP (ST)",#REF!,"Revolving Programs")</f>
        <v>#REF!</v>
      </c>
      <c r="G28" s="10" t="e">
        <f>SUMIFS(#REF!,#REF!,"2022",#REF!,'App. 3 (Comm)'!$A28,#REF!,"ADB")+SUMIFS(#REF!,#REF!,"2022",#REF!,'App. 3 (Comm)'!$A28,#REF!,"Special Fund")+SUMIFS(#REF!,#REF!,"2022",#REF!,'App. 3 (Comm)'!$A28,#REF!,"TFP (LT)",#REF!,"Revolving Programs")+SUMIFS(#REF!,#REF!,"2022",#REF!,'App. 3 (Comm)'!$A28,#REF!,"MFP (LT)",#REF!,"Revolving Programs")+SUMIFS(#REF!,#REF!,"2022",#REF!,'App. 3 (Comm)'!$A28,#REF!,"SCFP (LT)",#REF!,"Revolving Programs")+SUMIFS(#REF!,#REF!,"2022",#REF!,'App. 3 (Comm)'!$A28,#REF!,"TFP (ST)",#REF!,"Revolving Programs")+SUMIFS(#REF!,#REF!,"2022",#REF!,'App. 3 (Comm)'!$A28,#REF!,"MFP (ST)",#REF!,"Revolving Programs")+SUMIFS(#REF!,#REF!,"2022",#REF!,'App. 3 (Comm)'!$A28,#REF!,"SCFP (ST)",#REF!,"Revolving Programs")</f>
        <v>#REF!</v>
      </c>
      <c r="H28" s="11" t="e">
        <f t="shared" si="0"/>
        <v>#REF!</v>
      </c>
      <c r="I28" s="11" t="e">
        <f>SUMIFS(#REF!,#REF!,"2022",#REF!,'App. 3 (Comm)'!$A28,#REF!,"Asia Pacific Vaccine Access Facility")-D28</f>
        <v>#REF!</v>
      </c>
      <c r="J28" s="11" t="e">
        <f>SUMIFS(#REF!,#REF!,"2022",#REF!,'App. 3 (Comm)'!$A28,#REF!,"COVID19 Pandemic Response Option")-E28</f>
        <v>#REF!</v>
      </c>
      <c r="K28" s="10" t="e">
        <f>SUMIFS(#REF!,#REF!,"2022",#REF!,'App. 3 (Comm)'!$A28)-J28-I28-E28-D28-F28-SUMIFS(#REF!,#REF!,"MFF-ADB",#REF!,"2022",#REF!,'App. 3 (Comm)'!$A28)</f>
        <v>#REF!</v>
      </c>
      <c r="L28" s="10" t="e">
        <f>SUMIFS(#REF!,#REF!,"2022",#REF!,'App. 3 (Comm)'!$A28)-G28-SUMIFS(#REF!,#REF!,"MFF-ADB",#REF!,"2022",#REF!,'App. 3 (Comm)'!$A28)-SUMIFS(#REF!,#REF!,"MFF-Official",#REF!,"2022",#REF!,'App. 3 (Comm)'!$A28)</f>
        <v>#REF!</v>
      </c>
      <c r="M28" s="10" t="e">
        <f t="shared" si="2"/>
        <v>#REF!</v>
      </c>
      <c r="N28" s="10" t="e">
        <f t="shared" si="1"/>
        <v>#REF!</v>
      </c>
    </row>
    <row r="29" spans="1:14">
      <c r="A29" s="3" t="s">
        <v>197</v>
      </c>
      <c r="C29" s="9" t="s">
        <v>35</v>
      </c>
      <c r="D29" s="10" t="e">
        <f>SUMIFS(#REF!,#REF!,"2022",#REF!,'App. 3 (Comm)'!$A29,#REF!,"Asia Pacific Vaccine Access Facility",#REF!,"ADB")+SUMIFS(#REF!,#REF!,"2022",#REF!,'App. 3 (Comm)'!$A29,#REF!,"Asia Pacific Vaccine Access Facility",#REF!,"Special Fund")</f>
        <v>#REF!</v>
      </c>
      <c r="E29" s="10" t="e">
        <f>SUMIFS(#REF!,#REF!,"2022",#REF!,'App. 3 (Comm)'!$A29,#REF!,"COVID19 Pandemic Response Option",#REF!,"ADB")+SUMIFS(#REF!,#REF!,"2022",#REF!,'App. 3 (Comm)'!$A29,#REF!,"COVID19 Pandemic Response Option",#REF!,"Special Fund")</f>
        <v>#REF!</v>
      </c>
      <c r="F29" s="10" t="e">
        <f>SUMIFS(#REF!,#REF!,"2022",#REF!,'App. 3 (Comm)'!$A29,#REF!,"ADB")+SUMIFS(#REF!,#REF!,"2022",#REF!,'App. 3 (Comm)'!$A29,#REF!,"Special Fund")+SUMIFS(#REF!,#REF!,"2022",#REF!,'App. 3 (Comm)'!$A29,#REF!,"TFP (LT)",#REF!,"Revolving Programs")+SUMIFS(#REF!,#REF!,"2022",#REF!,'App. 3 (Comm)'!$A29,#REF!,"MFP (LT)",#REF!,"Revolving Programs")+SUMIFS(#REF!,#REF!,"2022",#REF!,'App. 3 (Comm)'!$A29,#REF!,"SCFP (LT)",#REF!,"Revolving Programs")-E29-D29+SUMIFS(#REF!,#REF!,"2022",#REF!,'App. 3 (Comm)'!$A29,#REF!,"TFP (ST)",#REF!,"Revolving Programs")+SUMIFS(#REF!,#REF!,"2022",#REF!,'App. 3 (Comm)'!$A29,#REF!,"MFP (ST)",#REF!,"Revolving Programs")+SUMIFS(#REF!,#REF!,"2022",#REF!,'App. 3 (Comm)'!$A29,#REF!,"SCFP (ST)",#REF!,"Revolving Programs")</f>
        <v>#REF!</v>
      </c>
      <c r="G29" s="10" t="e">
        <f>SUMIFS(#REF!,#REF!,"2022",#REF!,'App. 3 (Comm)'!$A29,#REF!,"ADB")+SUMIFS(#REF!,#REF!,"2022",#REF!,'App. 3 (Comm)'!$A29,#REF!,"Special Fund")+SUMIFS(#REF!,#REF!,"2022",#REF!,'App. 3 (Comm)'!$A29,#REF!,"TFP (LT)",#REF!,"Revolving Programs")+SUMIFS(#REF!,#REF!,"2022",#REF!,'App. 3 (Comm)'!$A29,#REF!,"MFP (LT)",#REF!,"Revolving Programs")+SUMIFS(#REF!,#REF!,"2022",#REF!,'App. 3 (Comm)'!$A29,#REF!,"SCFP (LT)",#REF!,"Revolving Programs")+SUMIFS(#REF!,#REF!,"2022",#REF!,'App. 3 (Comm)'!$A29,#REF!,"TFP (ST)",#REF!,"Revolving Programs")+SUMIFS(#REF!,#REF!,"2022",#REF!,'App. 3 (Comm)'!$A29,#REF!,"MFP (ST)",#REF!,"Revolving Programs")+SUMIFS(#REF!,#REF!,"2022",#REF!,'App. 3 (Comm)'!$A29,#REF!,"SCFP (ST)",#REF!,"Revolving Programs")</f>
        <v>#REF!</v>
      </c>
      <c r="H29" s="11" t="e">
        <f t="shared" si="0"/>
        <v>#REF!</v>
      </c>
      <c r="I29" s="11" t="e">
        <f>SUMIFS(#REF!,#REF!,"2022",#REF!,'App. 3 (Comm)'!$A29,#REF!,"Asia Pacific Vaccine Access Facility")-D29</f>
        <v>#REF!</v>
      </c>
      <c r="J29" s="11" t="e">
        <f>SUMIFS(#REF!,#REF!,"2022",#REF!,'App. 3 (Comm)'!$A29,#REF!,"COVID19 Pandemic Response Option")-E29</f>
        <v>#REF!</v>
      </c>
      <c r="K29" s="10" t="e">
        <f>SUMIFS(#REF!,#REF!,"2022",#REF!,'App. 3 (Comm)'!$A29)-J29-I29-E29-D29-F29-SUMIFS(#REF!,#REF!,"MFF-ADB",#REF!,"2022",#REF!,'App. 3 (Comm)'!$A29)</f>
        <v>#REF!</v>
      </c>
      <c r="L29" s="10" t="e">
        <f>SUMIFS(#REF!,#REF!,"2022",#REF!,'App. 3 (Comm)'!$A29)-G29-SUMIFS(#REF!,#REF!,"MFF-ADB",#REF!,"2022",#REF!,'App. 3 (Comm)'!$A29)-SUMIFS(#REF!,#REF!,"MFF-Official",#REF!,"2022",#REF!,'App. 3 (Comm)'!$A29)</f>
        <v>#REF!</v>
      </c>
      <c r="M29" s="10" t="e">
        <f t="shared" si="2"/>
        <v>#REF!</v>
      </c>
      <c r="N29" s="10" t="e">
        <f t="shared" si="1"/>
        <v>#REF!</v>
      </c>
    </row>
    <row r="30" spans="1:14" hidden="1">
      <c r="A30" s="3" t="s">
        <v>282</v>
      </c>
      <c r="C30" s="15" t="s">
        <v>113</v>
      </c>
      <c r="D30" s="10" t="e">
        <f>SUMIFS(#REF!,#REF!,"2022",#REF!,'App. 3 (Comm)'!$A30,#REF!,"Asia Pacific Vaccine Access Facility",#REF!,"ADB")+SUMIFS(#REF!,#REF!,"2022",#REF!,'App. 3 (Comm)'!$A30,#REF!,"Asia Pacific Vaccine Access Facility",#REF!,"Special Fund")</f>
        <v>#REF!</v>
      </c>
      <c r="E30" s="10" t="e">
        <f>SUMIFS(#REF!,#REF!,"2022",#REF!,'App. 3 (Comm)'!$A30,#REF!,"COVID19 Pandemic Response Option",#REF!,"ADB")+SUMIFS(#REF!,#REF!,"2022",#REF!,'App. 3 (Comm)'!$A30,#REF!,"COVID19 Pandemic Response Option",#REF!,"Special Fund")</f>
        <v>#REF!</v>
      </c>
      <c r="F30" s="10" t="e">
        <f>SUMIFS(#REF!,#REF!,"2022",#REF!,'App. 3 (Comm)'!$A30,#REF!,"ADB")+SUMIFS(#REF!,#REF!,"2022",#REF!,'App. 3 (Comm)'!$A30,#REF!,"Special Fund")+SUMIFS(#REF!,#REF!,"2022",#REF!,'App. 3 (Comm)'!$A30,#REF!,"TFP (LT)",#REF!,"Revolving Programs")+SUMIFS(#REF!,#REF!,"2022",#REF!,'App. 3 (Comm)'!$A30,#REF!,"MFP (LT)",#REF!,"Revolving Programs")+SUMIFS(#REF!,#REF!,"2022",#REF!,'App. 3 (Comm)'!$A30,#REF!,"SCFP (LT)",#REF!,"Revolving Programs")-E30-D30+SUMIFS(#REF!,#REF!,"2022",#REF!,'App. 3 (Comm)'!$A30,#REF!,"TFP (ST)",#REF!,"Revolving Programs")+SUMIFS(#REF!,#REF!,"2022",#REF!,'App. 3 (Comm)'!$A30,#REF!,"MFP (ST)",#REF!,"Revolving Programs")+SUMIFS(#REF!,#REF!,"2022",#REF!,'App. 3 (Comm)'!$A30,#REF!,"SCFP (ST)",#REF!,"Revolving Programs")</f>
        <v>#REF!</v>
      </c>
      <c r="G30" s="10" t="e">
        <f>SUMIFS(#REF!,#REF!,"2022",#REF!,'App. 3 (Comm)'!$A30,#REF!,"ADB")+SUMIFS(#REF!,#REF!,"2022",#REF!,'App. 3 (Comm)'!$A30,#REF!,"Special Fund")+SUMIFS(#REF!,#REF!,"2022",#REF!,'App. 3 (Comm)'!$A30,#REF!,"TFP (LT)",#REF!,"Revolving Programs")+SUMIFS(#REF!,#REF!,"2022",#REF!,'App. 3 (Comm)'!$A30,#REF!,"MFP (LT)",#REF!,"Revolving Programs")+SUMIFS(#REF!,#REF!,"2022",#REF!,'App. 3 (Comm)'!$A30,#REF!,"SCFP (LT)",#REF!,"Revolving Programs")+SUMIFS(#REF!,#REF!,"2022",#REF!,'App. 3 (Comm)'!$A30,#REF!,"TFP (ST)",#REF!,"Revolving Programs")+SUMIFS(#REF!,#REF!,"2022",#REF!,'App. 3 (Comm)'!$A30,#REF!,"MFP (ST)",#REF!,"Revolving Programs")+SUMIFS(#REF!,#REF!,"2022",#REF!,'App. 3 (Comm)'!$A30,#REF!,"SCFP (ST)",#REF!,"Revolving Programs")</f>
        <v>#REF!</v>
      </c>
      <c r="H30" s="11" t="e">
        <f t="shared" si="0"/>
        <v>#REF!</v>
      </c>
      <c r="I30" s="11" t="e">
        <f>SUMIFS(#REF!,#REF!,"2022",#REF!,'App. 3 (Comm)'!$A30,#REF!,"Asia Pacific Vaccine Access Facility")-D30</f>
        <v>#REF!</v>
      </c>
      <c r="J30" s="11" t="e">
        <f>SUMIFS(#REF!,#REF!,"2022",#REF!,'App. 3 (Comm)'!$A30,#REF!,"COVID19 Pandemic Response Option")-E30</f>
        <v>#REF!</v>
      </c>
      <c r="K30" s="10" t="e">
        <f>SUMIFS(#REF!,#REF!,"2022",#REF!,'App. 3 (Comm)'!$A30)-J30-I30-E30-D30-F30-SUMIFS(#REF!,#REF!,"MFF-ADB",#REF!,"2022",#REF!,'App. 3 (Comm)'!$A30)</f>
        <v>#REF!</v>
      </c>
      <c r="L30" s="10" t="e">
        <f>SUMIFS(#REF!,#REF!,"2022",#REF!,'App. 3 (Comm)'!$A30)-G30-SUMIFS(#REF!,#REF!,"MFF-ADB",#REF!,"2022",#REF!,'App. 3 (Comm)'!$A30)-SUMIFS(#REF!,#REF!,"MFF-Official",#REF!,"2022",#REF!,'App. 3 (Comm)'!$A30)</f>
        <v>#REF!</v>
      </c>
      <c r="M30" s="10" t="e">
        <f t="shared" si="2"/>
        <v>#REF!</v>
      </c>
      <c r="N30" s="10" t="e">
        <f t="shared" si="1"/>
        <v>#REF!</v>
      </c>
    </row>
    <row r="31" spans="1:14" ht="15">
      <c r="C31" s="6" t="s">
        <v>198</v>
      </c>
      <c r="D31" s="17" t="e">
        <f>SUM(D32:D45)</f>
        <v>#REF!</v>
      </c>
      <c r="E31" s="17" t="e">
        <f>SUM(E32:E45)</f>
        <v>#REF!</v>
      </c>
      <c r="F31" s="17" t="e">
        <f>SUM(F32:F45)</f>
        <v>#REF!</v>
      </c>
      <c r="G31" s="17" t="e">
        <f>SUM(G32:G45)</f>
        <v>#REF!</v>
      </c>
      <c r="H31" s="7" t="e">
        <f t="shared" si="0"/>
        <v>#REF!</v>
      </c>
      <c r="I31" s="17" t="e">
        <f>SUM(I32:I45)</f>
        <v>#REF!</v>
      </c>
      <c r="J31" s="17" t="e">
        <f>SUM(J32:J45)</f>
        <v>#REF!</v>
      </c>
      <c r="K31" s="17" t="e">
        <f>SUM(K32:K45)</f>
        <v>#REF!</v>
      </c>
      <c r="L31" s="17" t="e">
        <f>SUM(L32:L45)</f>
        <v>#REF!</v>
      </c>
      <c r="M31" s="17" t="e">
        <f t="shared" si="2"/>
        <v>#REF!</v>
      </c>
      <c r="N31" s="17" t="e">
        <f t="shared" si="1"/>
        <v>#REF!</v>
      </c>
    </row>
    <row r="32" spans="1:14">
      <c r="A32" s="3" t="s">
        <v>199</v>
      </c>
      <c r="C32" s="9" t="s">
        <v>20</v>
      </c>
      <c r="D32" s="10" t="e">
        <f>SUMIFS(#REF!,#REF!,"2022",#REF!,'App. 3 (Comm)'!$A32,#REF!,"Asia Pacific Vaccine Access Facility",#REF!,"ADB")+SUMIFS(#REF!,#REF!,"2022",#REF!,'App. 3 (Comm)'!$A32,#REF!,"Asia Pacific Vaccine Access Facility",#REF!,"Special Fund")</f>
        <v>#REF!</v>
      </c>
      <c r="E32" s="10" t="e">
        <f>SUMIFS(#REF!,#REF!,"2022",#REF!,'App. 3 (Comm)'!$A32,#REF!,"COVID19 Pandemic Response Option",#REF!,"ADB")+SUMIFS(#REF!,#REF!,"2022",#REF!,'App. 3 (Comm)'!$A32,#REF!,"COVID19 Pandemic Response Option",#REF!,"Special Fund")</f>
        <v>#REF!</v>
      </c>
      <c r="F32" s="10" t="e">
        <f>SUMIFS(#REF!,#REF!,"2022",#REF!,'App. 3 (Comm)'!$A32,#REF!,"ADB")+SUMIFS(#REF!,#REF!,"2022",#REF!,'App. 3 (Comm)'!$A32,#REF!,"Special Fund")+SUMIFS(#REF!,#REF!,"2022",#REF!,'App. 3 (Comm)'!$A32,#REF!,"TFP (LT)",#REF!,"Revolving Programs")+SUMIFS(#REF!,#REF!,"2022",#REF!,'App. 3 (Comm)'!$A32,#REF!,"MFP (LT)",#REF!,"Revolving Programs")+SUMIFS(#REF!,#REF!,"2022",#REF!,'App. 3 (Comm)'!$A32,#REF!,"SCFP (LT)",#REF!,"Revolving Programs")-E32-D32+SUMIFS(#REF!,#REF!,"2022",#REF!,'App. 3 (Comm)'!$A32,#REF!,"TFP (ST)",#REF!,"Revolving Programs")+SUMIFS(#REF!,#REF!,"2022",#REF!,'App. 3 (Comm)'!$A32,#REF!,"MFP (ST)",#REF!,"Revolving Programs")+SUMIFS(#REF!,#REF!,"2022",#REF!,'App. 3 (Comm)'!$A32,#REF!,"SCFP (ST)",#REF!,"Revolving Programs")</f>
        <v>#REF!</v>
      </c>
      <c r="G32" s="10" t="e">
        <f>SUMIFS(#REF!,#REF!,"2022",#REF!,'App. 3 (Comm)'!$A32,#REF!,"ADB")+SUMIFS(#REF!,#REF!,"2022",#REF!,'App. 3 (Comm)'!$A32,#REF!,"Special Fund")+SUMIFS(#REF!,#REF!,"2022",#REF!,'App. 3 (Comm)'!$A32,#REF!,"TFP (LT)",#REF!,"Revolving Programs")+SUMIFS(#REF!,#REF!,"2022",#REF!,'App. 3 (Comm)'!$A32,#REF!,"MFP (LT)",#REF!,"Revolving Programs")+SUMIFS(#REF!,#REF!,"2022",#REF!,'App. 3 (Comm)'!$A32,#REF!,"SCFP (LT)",#REF!,"Revolving Programs")+SUMIFS(#REF!,#REF!,"2022",#REF!,'App. 3 (Comm)'!$A32,#REF!,"TFP (ST)",#REF!,"Revolving Programs")+SUMIFS(#REF!,#REF!,"2022",#REF!,'App. 3 (Comm)'!$A32,#REF!,"MFP (ST)",#REF!,"Revolving Programs")+SUMIFS(#REF!,#REF!,"2022",#REF!,'App. 3 (Comm)'!$A32,#REF!,"SCFP (ST)",#REF!,"Revolving Programs")</f>
        <v>#REF!</v>
      </c>
      <c r="H32" s="11" t="e">
        <f t="shared" si="0"/>
        <v>#REF!</v>
      </c>
      <c r="I32" s="11" t="e">
        <f>SUMIFS(#REF!,#REF!,"2022",#REF!,'App. 3 (Comm)'!$A32,#REF!,"Asia Pacific Vaccine Access Facility")-D32</f>
        <v>#REF!</v>
      </c>
      <c r="J32" s="11" t="e">
        <f>SUMIFS(#REF!,#REF!,"2022",#REF!,'App. 3 (Comm)'!$A32,#REF!,"COVID19 Pandemic Response Option")-E32</f>
        <v>#REF!</v>
      </c>
      <c r="K32" s="10" t="e">
        <f>SUMIFS(#REF!,#REF!,"2022",#REF!,'App. 3 (Comm)'!$A32)-J32-I32-E32-D32-F32-SUMIFS(#REF!,#REF!,"MFF-ADB",#REF!,"2022",#REF!,'App. 3 (Comm)'!$A32)</f>
        <v>#REF!</v>
      </c>
      <c r="L32" s="10" t="e">
        <f>SUMIFS(#REF!,#REF!,"2022",#REF!,'App. 3 (Comm)'!$A32)-G32-SUMIFS(#REF!,#REF!,"MFF-ADB",#REF!,"2022",#REF!,'App. 3 (Comm)'!$A32)-SUMIFS(#REF!,#REF!,"MFF-Official",#REF!,"2022",#REF!,'App. 3 (Comm)'!$A32)</f>
        <v>#REF!</v>
      </c>
      <c r="M32" s="10" t="e">
        <f t="shared" si="2"/>
        <v>#REF!</v>
      </c>
      <c r="N32" s="10" t="e">
        <f t="shared" si="1"/>
        <v>#REF!</v>
      </c>
    </row>
    <row r="33" spans="1:14">
      <c r="A33" s="3" t="s">
        <v>200</v>
      </c>
      <c r="C33" s="9" t="s">
        <v>21</v>
      </c>
      <c r="D33" s="10" t="e">
        <f>SUMIFS(#REF!,#REF!,"2022",#REF!,'App. 3 (Comm)'!$A33,#REF!,"Asia Pacific Vaccine Access Facility",#REF!,"ADB")+SUMIFS(#REF!,#REF!,"2022",#REF!,'App. 3 (Comm)'!$A33,#REF!,"Asia Pacific Vaccine Access Facility",#REF!,"Special Fund")</f>
        <v>#REF!</v>
      </c>
      <c r="E33" s="10" t="e">
        <f>SUMIFS(#REF!,#REF!,"2022",#REF!,'App. 3 (Comm)'!$A33,#REF!,"COVID19 Pandemic Response Option",#REF!,"ADB")+SUMIFS(#REF!,#REF!,"2022",#REF!,'App. 3 (Comm)'!$A33,#REF!,"COVID19 Pandemic Response Option",#REF!,"Special Fund")</f>
        <v>#REF!</v>
      </c>
      <c r="F33" s="10" t="e">
        <f>SUMIFS(#REF!,#REF!,"2022",#REF!,'App. 3 (Comm)'!$A33,#REF!,"ADB")+SUMIFS(#REF!,#REF!,"2022",#REF!,'App. 3 (Comm)'!$A33,#REF!,"Special Fund")+SUMIFS(#REF!,#REF!,"2022",#REF!,'App. 3 (Comm)'!$A33,#REF!,"TFP (LT)",#REF!,"Revolving Programs")+SUMIFS(#REF!,#REF!,"2022",#REF!,'App. 3 (Comm)'!$A33,#REF!,"MFP (LT)",#REF!,"Revolving Programs")+SUMIFS(#REF!,#REF!,"2022",#REF!,'App. 3 (Comm)'!$A33,#REF!,"SCFP (LT)",#REF!,"Revolving Programs")-E33-D33+SUMIFS(#REF!,#REF!,"2022",#REF!,'App. 3 (Comm)'!$A33,#REF!,"TFP (ST)",#REF!,"Revolving Programs")+SUMIFS(#REF!,#REF!,"2022",#REF!,'App. 3 (Comm)'!$A33,#REF!,"MFP (ST)",#REF!,"Revolving Programs")+SUMIFS(#REF!,#REF!,"2022",#REF!,'App. 3 (Comm)'!$A33,#REF!,"SCFP (ST)",#REF!,"Revolving Programs")</f>
        <v>#REF!</v>
      </c>
      <c r="G33" s="10" t="e">
        <f>SUMIFS(#REF!,#REF!,"2022",#REF!,'App. 3 (Comm)'!$A33,#REF!,"ADB")+SUMIFS(#REF!,#REF!,"2022",#REF!,'App. 3 (Comm)'!$A33,#REF!,"Special Fund")+SUMIFS(#REF!,#REF!,"2022",#REF!,'App. 3 (Comm)'!$A33,#REF!,"TFP (LT)",#REF!,"Revolving Programs")+SUMIFS(#REF!,#REF!,"2022",#REF!,'App. 3 (Comm)'!$A33,#REF!,"MFP (LT)",#REF!,"Revolving Programs")+SUMIFS(#REF!,#REF!,"2022",#REF!,'App. 3 (Comm)'!$A33,#REF!,"SCFP (LT)",#REF!,"Revolving Programs")+SUMIFS(#REF!,#REF!,"2022",#REF!,'App. 3 (Comm)'!$A33,#REF!,"TFP (ST)",#REF!,"Revolving Programs")+SUMIFS(#REF!,#REF!,"2022",#REF!,'App. 3 (Comm)'!$A33,#REF!,"MFP (ST)",#REF!,"Revolving Programs")+SUMIFS(#REF!,#REF!,"2022",#REF!,'App. 3 (Comm)'!$A33,#REF!,"SCFP (ST)",#REF!,"Revolving Programs")</f>
        <v>#REF!</v>
      </c>
      <c r="H33" s="11" t="e">
        <f t="shared" si="0"/>
        <v>#REF!</v>
      </c>
      <c r="I33" s="11" t="e">
        <f>SUMIFS(#REF!,#REF!,"2022",#REF!,'App. 3 (Comm)'!$A33,#REF!,"Asia Pacific Vaccine Access Facility")-D33</f>
        <v>#REF!</v>
      </c>
      <c r="J33" s="11" t="e">
        <f>SUMIFS(#REF!,#REF!,"2022",#REF!,'App. 3 (Comm)'!$A33,#REF!,"COVID19 Pandemic Response Option")-E33</f>
        <v>#REF!</v>
      </c>
      <c r="K33" s="10" t="e">
        <f>SUMIFS(#REF!,#REF!,"2022",#REF!,'App. 3 (Comm)'!$A33)-J33-I33-E33-D33-F33-SUMIFS(#REF!,#REF!,"MFF-ADB",#REF!,"2022",#REF!,'App. 3 (Comm)'!$A33)</f>
        <v>#REF!</v>
      </c>
      <c r="L33" s="10" t="e">
        <f>SUMIFS(#REF!,#REF!,"2022",#REF!,'App. 3 (Comm)'!$A33)-G33-SUMIFS(#REF!,#REF!,"MFF-ADB",#REF!,"2022",#REF!,'App. 3 (Comm)'!$A33)-SUMIFS(#REF!,#REF!,"MFF-Official",#REF!,"2022",#REF!,'App. 3 (Comm)'!$A33)</f>
        <v>#REF!</v>
      </c>
      <c r="M33" s="10" t="e">
        <f t="shared" si="2"/>
        <v>#REF!</v>
      </c>
      <c r="N33" s="10" t="e">
        <f t="shared" si="1"/>
        <v>#REF!</v>
      </c>
    </row>
    <row r="34" spans="1:14">
      <c r="A34" s="3" t="s">
        <v>201</v>
      </c>
      <c r="C34" s="9" t="s">
        <v>202</v>
      </c>
      <c r="D34" s="10" t="e">
        <f>SUMIFS(#REF!,#REF!,"2022",#REF!,'App. 3 (Comm)'!$A34,#REF!,"Asia Pacific Vaccine Access Facility",#REF!,"ADB")+SUMIFS(#REF!,#REF!,"2022",#REF!,'App. 3 (Comm)'!$A34,#REF!,"Asia Pacific Vaccine Access Facility",#REF!,"Special Fund")</f>
        <v>#REF!</v>
      </c>
      <c r="E34" s="10" t="e">
        <f>SUMIFS(#REF!,#REF!,"2022",#REF!,'App. 3 (Comm)'!$A34,#REF!,"COVID19 Pandemic Response Option",#REF!,"ADB")+SUMIFS(#REF!,#REF!,"2022",#REF!,'App. 3 (Comm)'!$A34,#REF!,"COVID19 Pandemic Response Option",#REF!,"Special Fund")</f>
        <v>#REF!</v>
      </c>
      <c r="F34" s="10" t="e">
        <f>SUMIFS(#REF!,#REF!,"2022",#REF!,'App. 3 (Comm)'!$A34,#REF!,"ADB")+SUMIFS(#REF!,#REF!,"2022",#REF!,'App. 3 (Comm)'!$A34,#REF!,"Special Fund")+SUMIFS(#REF!,#REF!,"2022",#REF!,'App. 3 (Comm)'!$A34,#REF!,"TFP (LT)",#REF!,"Revolving Programs")+SUMIFS(#REF!,#REF!,"2022",#REF!,'App. 3 (Comm)'!$A34,#REF!,"MFP (LT)",#REF!,"Revolving Programs")+SUMIFS(#REF!,#REF!,"2022",#REF!,'App. 3 (Comm)'!$A34,#REF!,"SCFP (LT)",#REF!,"Revolving Programs")-E34-D34+SUMIFS(#REF!,#REF!,"2022",#REF!,'App. 3 (Comm)'!$A34,#REF!,"TFP (ST)",#REF!,"Revolving Programs")+SUMIFS(#REF!,#REF!,"2022",#REF!,'App. 3 (Comm)'!$A34,#REF!,"MFP (ST)",#REF!,"Revolving Programs")+SUMIFS(#REF!,#REF!,"2022",#REF!,'App. 3 (Comm)'!$A34,#REF!,"SCFP (ST)",#REF!,"Revolving Programs")</f>
        <v>#REF!</v>
      </c>
      <c r="G34" s="10" t="e">
        <f>SUMIFS(#REF!,#REF!,"2022",#REF!,'App. 3 (Comm)'!$A34,#REF!,"ADB")+SUMIFS(#REF!,#REF!,"2022",#REF!,'App. 3 (Comm)'!$A34,#REF!,"Special Fund")+SUMIFS(#REF!,#REF!,"2022",#REF!,'App. 3 (Comm)'!$A34,#REF!,"TFP (LT)",#REF!,"Revolving Programs")+SUMIFS(#REF!,#REF!,"2022",#REF!,'App. 3 (Comm)'!$A34,#REF!,"MFP (LT)",#REF!,"Revolving Programs")+SUMIFS(#REF!,#REF!,"2022",#REF!,'App. 3 (Comm)'!$A34,#REF!,"SCFP (LT)",#REF!,"Revolving Programs")+SUMIFS(#REF!,#REF!,"2022",#REF!,'App. 3 (Comm)'!$A34,#REF!,"TFP (ST)",#REF!,"Revolving Programs")+SUMIFS(#REF!,#REF!,"2022",#REF!,'App. 3 (Comm)'!$A34,#REF!,"MFP (ST)",#REF!,"Revolving Programs")+SUMIFS(#REF!,#REF!,"2022",#REF!,'App. 3 (Comm)'!$A34,#REF!,"SCFP (ST)",#REF!,"Revolving Programs")</f>
        <v>#REF!</v>
      </c>
      <c r="H34" s="11" t="e">
        <f t="shared" si="0"/>
        <v>#REF!</v>
      </c>
      <c r="I34" s="11" t="e">
        <f>SUMIFS(#REF!,#REF!,"2022",#REF!,'App. 3 (Comm)'!$A34,#REF!,"Asia Pacific Vaccine Access Facility")-D34</f>
        <v>#REF!</v>
      </c>
      <c r="J34" s="11" t="e">
        <f>SUMIFS(#REF!,#REF!,"2022",#REF!,'App. 3 (Comm)'!$A34,#REF!,"COVID19 Pandemic Response Option")-E34</f>
        <v>#REF!</v>
      </c>
      <c r="K34" s="10" t="e">
        <f>SUMIFS(#REF!,#REF!,"2022",#REF!,'App. 3 (Comm)'!$A34)-J34-I34-E34-D34-F34-SUMIFS(#REF!,#REF!,"MFF-ADB",#REF!,"2022",#REF!,'App. 3 (Comm)'!$A34)</f>
        <v>#REF!</v>
      </c>
      <c r="L34" s="10" t="e">
        <f>SUMIFS(#REF!,#REF!,"2022",#REF!,'App. 3 (Comm)'!$A34)-G34-SUMIFS(#REF!,#REF!,"MFF-ADB",#REF!,"2022",#REF!,'App. 3 (Comm)'!$A34)-SUMIFS(#REF!,#REF!,"MFF-Official",#REF!,"2022",#REF!,'App. 3 (Comm)'!$A34)</f>
        <v>#REF!</v>
      </c>
      <c r="M34" s="10" t="e">
        <f t="shared" si="2"/>
        <v>#REF!</v>
      </c>
      <c r="N34" s="10" t="e">
        <f t="shared" si="1"/>
        <v>#REF!</v>
      </c>
    </row>
    <row r="35" spans="1:14">
      <c r="A35" s="3" t="s">
        <v>203</v>
      </c>
      <c r="C35" s="9" t="s">
        <v>29</v>
      </c>
      <c r="D35" s="10" t="e">
        <f>SUMIFS(#REF!,#REF!,"2022",#REF!,'App. 3 (Comm)'!$A35,#REF!,"Asia Pacific Vaccine Access Facility",#REF!,"ADB")+SUMIFS(#REF!,#REF!,"2022",#REF!,'App. 3 (Comm)'!$A35,#REF!,"Asia Pacific Vaccine Access Facility",#REF!,"Special Fund")</f>
        <v>#REF!</v>
      </c>
      <c r="E35" s="10" t="e">
        <f>SUMIFS(#REF!,#REF!,"2022",#REF!,'App. 3 (Comm)'!$A35,#REF!,"COVID19 Pandemic Response Option",#REF!,"ADB")+SUMIFS(#REF!,#REF!,"2022",#REF!,'App. 3 (Comm)'!$A35,#REF!,"COVID19 Pandemic Response Option",#REF!,"Special Fund")</f>
        <v>#REF!</v>
      </c>
      <c r="F35" s="10" t="e">
        <f>SUMIFS(#REF!,#REF!,"2022",#REF!,'App. 3 (Comm)'!$A35,#REF!,"ADB")+SUMIFS(#REF!,#REF!,"2022",#REF!,'App. 3 (Comm)'!$A35,#REF!,"Special Fund")+SUMIFS(#REF!,#REF!,"2022",#REF!,'App. 3 (Comm)'!$A35,#REF!,"TFP (LT)",#REF!,"Revolving Programs")+SUMIFS(#REF!,#REF!,"2022",#REF!,'App. 3 (Comm)'!$A35,#REF!,"MFP (LT)",#REF!,"Revolving Programs")+SUMIFS(#REF!,#REF!,"2022",#REF!,'App. 3 (Comm)'!$A35,#REF!,"SCFP (LT)",#REF!,"Revolving Programs")-E35-D35+SUMIFS(#REF!,#REF!,"2022",#REF!,'App. 3 (Comm)'!$A35,#REF!,"TFP (ST)",#REF!,"Revolving Programs")+SUMIFS(#REF!,#REF!,"2022",#REF!,'App. 3 (Comm)'!$A35,#REF!,"MFP (ST)",#REF!,"Revolving Programs")+SUMIFS(#REF!,#REF!,"2022",#REF!,'App. 3 (Comm)'!$A35,#REF!,"SCFP (ST)",#REF!,"Revolving Programs")</f>
        <v>#REF!</v>
      </c>
      <c r="G35" s="10" t="e">
        <f>SUMIFS(#REF!,#REF!,"2022",#REF!,'App. 3 (Comm)'!$A35,#REF!,"ADB")+SUMIFS(#REF!,#REF!,"2022",#REF!,'App. 3 (Comm)'!$A35,#REF!,"Special Fund")+SUMIFS(#REF!,#REF!,"2022",#REF!,'App. 3 (Comm)'!$A35,#REF!,"TFP (LT)",#REF!,"Revolving Programs")+SUMIFS(#REF!,#REF!,"2022",#REF!,'App. 3 (Comm)'!$A35,#REF!,"MFP (LT)",#REF!,"Revolving Programs")+SUMIFS(#REF!,#REF!,"2022",#REF!,'App. 3 (Comm)'!$A35,#REF!,"SCFP (LT)",#REF!,"Revolving Programs")+SUMIFS(#REF!,#REF!,"2022",#REF!,'App. 3 (Comm)'!$A35,#REF!,"TFP (ST)",#REF!,"Revolving Programs")+SUMIFS(#REF!,#REF!,"2022",#REF!,'App. 3 (Comm)'!$A35,#REF!,"MFP (ST)",#REF!,"Revolving Programs")+SUMIFS(#REF!,#REF!,"2022",#REF!,'App. 3 (Comm)'!$A35,#REF!,"SCFP (ST)",#REF!,"Revolving Programs")</f>
        <v>#REF!</v>
      </c>
      <c r="H35" s="11" t="e">
        <f t="shared" si="0"/>
        <v>#REF!</v>
      </c>
      <c r="I35" s="11" t="e">
        <f>SUMIFS(#REF!,#REF!,"2022",#REF!,'App. 3 (Comm)'!$A35,#REF!,"Asia Pacific Vaccine Access Facility")-D35</f>
        <v>#REF!</v>
      </c>
      <c r="J35" s="11" t="e">
        <f>SUMIFS(#REF!,#REF!,"2022",#REF!,'App. 3 (Comm)'!$A35,#REF!,"COVID19 Pandemic Response Option")-E35</f>
        <v>#REF!</v>
      </c>
      <c r="K35" s="10" t="e">
        <f>SUMIFS(#REF!,#REF!,"2022",#REF!,'App. 3 (Comm)'!$A35)-J35-I35-E35-D35-F35-SUMIFS(#REF!,#REF!,"MFF-ADB",#REF!,"2022",#REF!,'App. 3 (Comm)'!$A35)</f>
        <v>#REF!</v>
      </c>
      <c r="L35" s="10" t="e">
        <f>SUMIFS(#REF!,#REF!,"2022",#REF!,'App. 3 (Comm)'!$A35)-G35-SUMIFS(#REF!,#REF!,"MFF-ADB",#REF!,"2022",#REF!,'App. 3 (Comm)'!$A35)-SUMIFS(#REF!,#REF!,"MFF-Official",#REF!,"2022",#REF!,'App. 3 (Comm)'!$A35)</f>
        <v>#REF!</v>
      </c>
      <c r="M35" s="10" t="e">
        <f t="shared" si="2"/>
        <v>#REF!</v>
      </c>
      <c r="N35" s="10" t="e">
        <f t="shared" si="1"/>
        <v>#REF!</v>
      </c>
    </row>
    <row r="36" spans="1:14">
      <c r="A36" s="3" t="s">
        <v>204</v>
      </c>
      <c r="C36" s="9" t="s">
        <v>34</v>
      </c>
      <c r="D36" s="10" t="e">
        <f>SUMIFS(#REF!,#REF!,"2022",#REF!,'App. 3 (Comm)'!$A36,#REF!,"Asia Pacific Vaccine Access Facility",#REF!,"ADB")+SUMIFS(#REF!,#REF!,"2022",#REF!,'App. 3 (Comm)'!$A36,#REF!,"Asia Pacific Vaccine Access Facility",#REF!,"Special Fund")</f>
        <v>#REF!</v>
      </c>
      <c r="E36" s="10" t="e">
        <f>SUMIFS(#REF!,#REF!,"2022",#REF!,'App. 3 (Comm)'!$A36,#REF!,"COVID19 Pandemic Response Option",#REF!,"ADB")+SUMIFS(#REF!,#REF!,"2022",#REF!,'App. 3 (Comm)'!$A36,#REF!,"COVID19 Pandemic Response Option",#REF!,"Special Fund")</f>
        <v>#REF!</v>
      </c>
      <c r="F36" s="10" t="e">
        <f>SUMIFS(#REF!,#REF!,"2022",#REF!,'App. 3 (Comm)'!$A36,#REF!,"ADB")+SUMIFS(#REF!,#REF!,"2022",#REF!,'App. 3 (Comm)'!$A36,#REF!,"Special Fund")+SUMIFS(#REF!,#REF!,"2022",#REF!,'App. 3 (Comm)'!$A36,#REF!,"TFP (LT)",#REF!,"Revolving Programs")+SUMIFS(#REF!,#REF!,"2022",#REF!,'App. 3 (Comm)'!$A36,#REF!,"MFP (LT)",#REF!,"Revolving Programs")+SUMIFS(#REF!,#REF!,"2022",#REF!,'App. 3 (Comm)'!$A36,#REF!,"SCFP (LT)",#REF!,"Revolving Programs")-E36-D36+SUMIFS(#REF!,#REF!,"2022",#REF!,'App. 3 (Comm)'!$A36,#REF!,"TFP (ST)",#REF!,"Revolving Programs")+SUMIFS(#REF!,#REF!,"2022",#REF!,'App. 3 (Comm)'!$A36,#REF!,"MFP (ST)",#REF!,"Revolving Programs")+SUMIFS(#REF!,#REF!,"2022",#REF!,'App. 3 (Comm)'!$A36,#REF!,"SCFP (ST)",#REF!,"Revolving Programs")</f>
        <v>#REF!</v>
      </c>
      <c r="G36" s="10" t="e">
        <f>SUMIFS(#REF!,#REF!,"2022",#REF!,'App. 3 (Comm)'!$A36,#REF!,"ADB")+SUMIFS(#REF!,#REF!,"2022",#REF!,'App. 3 (Comm)'!$A36,#REF!,"Special Fund")+SUMIFS(#REF!,#REF!,"2022",#REF!,'App. 3 (Comm)'!$A36,#REF!,"TFP (LT)",#REF!,"Revolving Programs")+SUMIFS(#REF!,#REF!,"2022",#REF!,'App. 3 (Comm)'!$A36,#REF!,"MFP (LT)",#REF!,"Revolving Programs")+SUMIFS(#REF!,#REF!,"2022",#REF!,'App. 3 (Comm)'!$A36,#REF!,"SCFP (LT)",#REF!,"Revolving Programs")+SUMIFS(#REF!,#REF!,"2022",#REF!,'App. 3 (Comm)'!$A36,#REF!,"TFP (ST)",#REF!,"Revolving Programs")+SUMIFS(#REF!,#REF!,"2022",#REF!,'App. 3 (Comm)'!$A36,#REF!,"MFP (ST)",#REF!,"Revolving Programs")+SUMIFS(#REF!,#REF!,"2022",#REF!,'App. 3 (Comm)'!$A36,#REF!,"SCFP (ST)",#REF!,"Revolving Programs")</f>
        <v>#REF!</v>
      </c>
      <c r="H36" s="11" t="e">
        <f t="shared" si="0"/>
        <v>#REF!</v>
      </c>
      <c r="I36" s="11" t="e">
        <f>SUMIFS(#REF!,#REF!,"2022",#REF!,'App. 3 (Comm)'!$A36,#REF!,"Asia Pacific Vaccine Access Facility")-D36</f>
        <v>#REF!</v>
      </c>
      <c r="J36" s="11" t="e">
        <f>SUMIFS(#REF!,#REF!,"2022",#REF!,'App. 3 (Comm)'!$A36,#REF!,"COVID19 Pandemic Response Option")-E36</f>
        <v>#REF!</v>
      </c>
      <c r="K36" s="10" t="e">
        <f>SUMIFS(#REF!,#REF!,"2022",#REF!,'App. 3 (Comm)'!$A36)-J36-I36-E36-D36-F36-SUMIFS(#REF!,#REF!,"MFF-ADB",#REF!,"2022",#REF!,'App. 3 (Comm)'!$A36)</f>
        <v>#REF!</v>
      </c>
      <c r="L36" s="10" t="e">
        <f>SUMIFS(#REF!,#REF!,"2022",#REF!,'App. 3 (Comm)'!$A36)-G36-SUMIFS(#REF!,#REF!,"MFF-ADB",#REF!,"2022",#REF!,'App. 3 (Comm)'!$A36)-SUMIFS(#REF!,#REF!,"MFF-Official",#REF!,"2022",#REF!,'App. 3 (Comm)'!$A36)</f>
        <v>#REF!</v>
      </c>
      <c r="M36" s="10" t="e">
        <f t="shared" si="2"/>
        <v>#REF!</v>
      </c>
      <c r="N36" s="10" t="e">
        <f t="shared" si="1"/>
        <v>#REF!</v>
      </c>
    </row>
    <row r="37" spans="1:14">
      <c r="A37" s="3" t="s">
        <v>205</v>
      </c>
      <c r="C37" s="9" t="s">
        <v>36</v>
      </c>
      <c r="D37" s="10" t="e">
        <f>SUMIFS(#REF!,#REF!,"2022",#REF!,'App. 3 (Comm)'!$A37,#REF!,"Asia Pacific Vaccine Access Facility",#REF!,"ADB")+SUMIFS(#REF!,#REF!,"2022",#REF!,'App. 3 (Comm)'!$A37,#REF!,"Asia Pacific Vaccine Access Facility",#REF!,"Special Fund")</f>
        <v>#REF!</v>
      </c>
      <c r="E37" s="10" t="e">
        <f>SUMIFS(#REF!,#REF!,"2022",#REF!,'App. 3 (Comm)'!$A37,#REF!,"COVID19 Pandemic Response Option",#REF!,"ADB")+SUMIFS(#REF!,#REF!,"2022",#REF!,'App. 3 (Comm)'!$A37,#REF!,"COVID19 Pandemic Response Option",#REF!,"Special Fund")</f>
        <v>#REF!</v>
      </c>
      <c r="F37" s="10" t="e">
        <f>SUMIFS(#REF!,#REF!,"2022",#REF!,'App. 3 (Comm)'!$A37,#REF!,"ADB")+SUMIFS(#REF!,#REF!,"2022",#REF!,'App. 3 (Comm)'!$A37,#REF!,"Special Fund")+SUMIFS(#REF!,#REF!,"2022",#REF!,'App. 3 (Comm)'!$A37,#REF!,"TFP (LT)",#REF!,"Revolving Programs")+SUMIFS(#REF!,#REF!,"2022",#REF!,'App. 3 (Comm)'!$A37,#REF!,"MFP (LT)",#REF!,"Revolving Programs")+SUMIFS(#REF!,#REF!,"2022",#REF!,'App. 3 (Comm)'!$A37,#REF!,"SCFP (LT)",#REF!,"Revolving Programs")-E37-D37+SUMIFS(#REF!,#REF!,"2022",#REF!,'App. 3 (Comm)'!$A37,#REF!,"TFP (ST)",#REF!,"Revolving Programs")+SUMIFS(#REF!,#REF!,"2022",#REF!,'App. 3 (Comm)'!$A37,#REF!,"MFP (ST)",#REF!,"Revolving Programs")+SUMIFS(#REF!,#REF!,"2022",#REF!,'App. 3 (Comm)'!$A37,#REF!,"SCFP (ST)",#REF!,"Revolving Programs")</f>
        <v>#REF!</v>
      </c>
      <c r="G37" s="10" t="e">
        <f>SUMIFS(#REF!,#REF!,"2022",#REF!,'App. 3 (Comm)'!$A37,#REF!,"ADB")+SUMIFS(#REF!,#REF!,"2022",#REF!,'App. 3 (Comm)'!$A37,#REF!,"Special Fund")+SUMIFS(#REF!,#REF!,"2022",#REF!,'App. 3 (Comm)'!$A37,#REF!,"TFP (LT)",#REF!,"Revolving Programs")+SUMIFS(#REF!,#REF!,"2022",#REF!,'App. 3 (Comm)'!$A37,#REF!,"MFP (LT)",#REF!,"Revolving Programs")+SUMIFS(#REF!,#REF!,"2022",#REF!,'App. 3 (Comm)'!$A37,#REF!,"SCFP (LT)",#REF!,"Revolving Programs")+SUMIFS(#REF!,#REF!,"2022",#REF!,'App. 3 (Comm)'!$A37,#REF!,"TFP (ST)",#REF!,"Revolving Programs")+SUMIFS(#REF!,#REF!,"2022",#REF!,'App. 3 (Comm)'!$A37,#REF!,"MFP (ST)",#REF!,"Revolving Programs")+SUMIFS(#REF!,#REF!,"2022",#REF!,'App. 3 (Comm)'!$A37,#REF!,"SCFP (ST)",#REF!,"Revolving Programs")</f>
        <v>#REF!</v>
      </c>
      <c r="H37" s="11" t="e">
        <f t="shared" si="0"/>
        <v>#REF!</v>
      </c>
      <c r="I37" s="11" t="e">
        <f>SUMIFS(#REF!,#REF!,"2022",#REF!,'App. 3 (Comm)'!$A37,#REF!,"Asia Pacific Vaccine Access Facility")-D37</f>
        <v>#REF!</v>
      </c>
      <c r="J37" s="11" t="e">
        <f>SUMIFS(#REF!,#REF!,"2022",#REF!,'App. 3 (Comm)'!$A37,#REF!,"COVID19 Pandemic Response Option")-E37</f>
        <v>#REF!</v>
      </c>
      <c r="K37" s="10" t="e">
        <f>SUMIFS(#REF!,#REF!,"2022",#REF!,'App. 3 (Comm)'!$A37)-J37-I37-E37-D37-F37-SUMIFS(#REF!,#REF!,"MFF-ADB",#REF!,"2022",#REF!,'App. 3 (Comm)'!$A37)</f>
        <v>#REF!</v>
      </c>
      <c r="L37" s="10" t="e">
        <f>SUMIFS(#REF!,#REF!,"2022",#REF!,'App. 3 (Comm)'!$A37)-G37-SUMIFS(#REF!,#REF!,"MFF-ADB",#REF!,"2022",#REF!,'App. 3 (Comm)'!$A37)-SUMIFS(#REF!,#REF!,"MFF-Official",#REF!,"2022",#REF!,'App. 3 (Comm)'!$A37)</f>
        <v>#REF!</v>
      </c>
      <c r="M37" s="10" t="e">
        <f t="shared" si="2"/>
        <v>#REF!</v>
      </c>
      <c r="N37" s="10" t="e">
        <f t="shared" si="1"/>
        <v>#REF!</v>
      </c>
    </row>
    <row r="38" spans="1:14">
      <c r="A38" s="3" t="s">
        <v>206</v>
      </c>
      <c r="C38" s="9" t="s">
        <v>38</v>
      </c>
      <c r="D38" s="10" t="e">
        <f>SUMIFS(#REF!,#REF!,"2022",#REF!,'App. 3 (Comm)'!$A38,#REF!,"Asia Pacific Vaccine Access Facility",#REF!,"ADB")+SUMIFS(#REF!,#REF!,"2022",#REF!,'App. 3 (Comm)'!$A38,#REF!,"Asia Pacific Vaccine Access Facility",#REF!,"Special Fund")</f>
        <v>#REF!</v>
      </c>
      <c r="E38" s="10" t="e">
        <f>SUMIFS(#REF!,#REF!,"2022",#REF!,'App. 3 (Comm)'!$A38,#REF!,"COVID19 Pandemic Response Option",#REF!,"ADB")+SUMIFS(#REF!,#REF!,"2022",#REF!,'App. 3 (Comm)'!$A38,#REF!,"COVID19 Pandemic Response Option",#REF!,"Special Fund")</f>
        <v>#REF!</v>
      </c>
      <c r="F38" s="10" t="e">
        <f>SUMIFS(#REF!,#REF!,"2022",#REF!,'App. 3 (Comm)'!$A38,#REF!,"ADB")+SUMIFS(#REF!,#REF!,"2022",#REF!,'App. 3 (Comm)'!$A38,#REF!,"Special Fund")+SUMIFS(#REF!,#REF!,"2022",#REF!,'App. 3 (Comm)'!$A38,#REF!,"TFP (LT)",#REF!,"Revolving Programs")+SUMIFS(#REF!,#REF!,"2022",#REF!,'App. 3 (Comm)'!$A38,#REF!,"MFP (LT)",#REF!,"Revolving Programs")+SUMIFS(#REF!,#REF!,"2022",#REF!,'App. 3 (Comm)'!$A38,#REF!,"SCFP (LT)",#REF!,"Revolving Programs")-E38-D38+SUMIFS(#REF!,#REF!,"2022",#REF!,'App. 3 (Comm)'!$A38,#REF!,"TFP (ST)",#REF!,"Revolving Programs")+SUMIFS(#REF!,#REF!,"2022",#REF!,'App. 3 (Comm)'!$A38,#REF!,"MFP (ST)",#REF!,"Revolving Programs")+SUMIFS(#REF!,#REF!,"2022",#REF!,'App. 3 (Comm)'!$A38,#REF!,"SCFP (ST)",#REF!,"Revolving Programs")</f>
        <v>#REF!</v>
      </c>
      <c r="G38" s="10" t="e">
        <f>SUMIFS(#REF!,#REF!,"2022",#REF!,'App. 3 (Comm)'!$A38,#REF!,"ADB")+SUMIFS(#REF!,#REF!,"2022",#REF!,'App. 3 (Comm)'!$A38,#REF!,"Special Fund")+SUMIFS(#REF!,#REF!,"2022",#REF!,'App. 3 (Comm)'!$A38,#REF!,"TFP (LT)",#REF!,"Revolving Programs")+SUMIFS(#REF!,#REF!,"2022",#REF!,'App. 3 (Comm)'!$A38,#REF!,"MFP (LT)",#REF!,"Revolving Programs")+SUMIFS(#REF!,#REF!,"2022",#REF!,'App. 3 (Comm)'!$A38,#REF!,"SCFP (LT)",#REF!,"Revolving Programs")+SUMIFS(#REF!,#REF!,"2022",#REF!,'App. 3 (Comm)'!$A38,#REF!,"TFP (ST)",#REF!,"Revolving Programs")+SUMIFS(#REF!,#REF!,"2022",#REF!,'App. 3 (Comm)'!$A38,#REF!,"MFP (ST)",#REF!,"Revolving Programs")+SUMIFS(#REF!,#REF!,"2022",#REF!,'App. 3 (Comm)'!$A38,#REF!,"SCFP (ST)",#REF!,"Revolving Programs")</f>
        <v>#REF!</v>
      </c>
      <c r="H38" s="11" t="e">
        <f t="shared" si="0"/>
        <v>#REF!</v>
      </c>
      <c r="I38" s="11" t="e">
        <f>SUMIFS(#REF!,#REF!,"2022",#REF!,'App. 3 (Comm)'!$A38,#REF!,"Asia Pacific Vaccine Access Facility")-D38</f>
        <v>#REF!</v>
      </c>
      <c r="J38" s="11" t="e">
        <f>SUMIFS(#REF!,#REF!,"2022",#REF!,'App. 3 (Comm)'!$A38,#REF!,"COVID19 Pandemic Response Option")-E38</f>
        <v>#REF!</v>
      </c>
      <c r="K38" s="10" t="e">
        <f>SUMIFS(#REF!,#REF!,"2022",#REF!,'App. 3 (Comm)'!$A38)-J38-I38-E38-D38-F38-SUMIFS(#REF!,#REF!,"MFF-ADB",#REF!,"2022",#REF!,'App. 3 (Comm)'!$A38)</f>
        <v>#REF!</v>
      </c>
      <c r="L38" s="10" t="e">
        <f>SUMIFS(#REF!,#REF!,"2022",#REF!,'App. 3 (Comm)'!$A38)-G38-SUMIFS(#REF!,#REF!,"MFF-ADB",#REF!,"2022",#REF!,'App. 3 (Comm)'!$A38)-SUMIFS(#REF!,#REF!,"MFF-Official",#REF!,"2022",#REF!,'App. 3 (Comm)'!$A38)</f>
        <v>#REF!</v>
      </c>
      <c r="M38" s="10" t="e">
        <f t="shared" si="2"/>
        <v>#REF!</v>
      </c>
      <c r="N38" s="10" t="e">
        <f t="shared" si="1"/>
        <v>#REF!</v>
      </c>
    </row>
    <row r="39" spans="1:14">
      <c r="A39" s="3" t="s">
        <v>207</v>
      </c>
      <c r="C39" s="9" t="s">
        <v>41</v>
      </c>
      <c r="D39" s="10" t="e">
        <f>SUMIFS(#REF!,#REF!,"2022",#REF!,'App. 3 (Comm)'!$A39,#REF!,"Asia Pacific Vaccine Access Facility",#REF!,"ADB")+SUMIFS(#REF!,#REF!,"2022",#REF!,'App. 3 (Comm)'!$A39,#REF!,"Asia Pacific Vaccine Access Facility",#REF!,"Special Fund")</f>
        <v>#REF!</v>
      </c>
      <c r="E39" s="10" t="e">
        <f>SUMIFS(#REF!,#REF!,"2022",#REF!,'App. 3 (Comm)'!$A39,#REF!,"COVID19 Pandemic Response Option",#REF!,"ADB")+SUMIFS(#REF!,#REF!,"2022",#REF!,'App. 3 (Comm)'!$A39,#REF!,"COVID19 Pandemic Response Option",#REF!,"Special Fund")</f>
        <v>#REF!</v>
      </c>
      <c r="F39" s="10" t="e">
        <f>SUMIFS(#REF!,#REF!,"2022",#REF!,'App. 3 (Comm)'!$A39,#REF!,"ADB")+SUMIFS(#REF!,#REF!,"2022",#REF!,'App. 3 (Comm)'!$A39,#REF!,"Special Fund")+SUMIFS(#REF!,#REF!,"2022",#REF!,'App. 3 (Comm)'!$A39,#REF!,"TFP (LT)",#REF!,"Revolving Programs")+SUMIFS(#REF!,#REF!,"2022",#REF!,'App. 3 (Comm)'!$A39,#REF!,"MFP (LT)",#REF!,"Revolving Programs")+SUMIFS(#REF!,#REF!,"2022",#REF!,'App. 3 (Comm)'!$A39,#REF!,"SCFP (LT)",#REF!,"Revolving Programs")-E39-D39+SUMIFS(#REF!,#REF!,"2022",#REF!,'App. 3 (Comm)'!$A39,#REF!,"TFP (ST)",#REF!,"Revolving Programs")+SUMIFS(#REF!,#REF!,"2022",#REF!,'App. 3 (Comm)'!$A39,#REF!,"MFP (ST)",#REF!,"Revolving Programs")+SUMIFS(#REF!,#REF!,"2022",#REF!,'App. 3 (Comm)'!$A39,#REF!,"SCFP (ST)",#REF!,"Revolving Programs")</f>
        <v>#REF!</v>
      </c>
      <c r="G39" s="10" t="e">
        <f>SUMIFS(#REF!,#REF!,"2022",#REF!,'App. 3 (Comm)'!$A39,#REF!,"ADB")+SUMIFS(#REF!,#REF!,"2022",#REF!,'App. 3 (Comm)'!$A39,#REF!,"Special Fund")+SUMIFS(#REF!,#REF!,"2022",#REF!,'App. 3 (Comm)'!$A39,#REF!,"TFP (LT)",#REF!,"Revolving Programs")+SUMIFS(#REF!,#REF!,"2022",#REF!,'App. 3 (Comm)'!$A39,#REF!,"MFP (LT)",#REF!,"Revolving Programs")+SUMIFS(#REF!,#REF!,"2022",#REF!,'App. 3 (Comm)'!$A39,#REF!,"SCFP (LT)",#REF!,"Revolving Programs")+SUMIFS(#REF!,#REF!,"2022",#REF!,'App. 3 (Comm)'!$A39,#REF!,"TFP (ST)",#REF!,"Revolving Programs")+SUMIFS(#REF!,#REF!,"2022",#REF!,'App. 3 (Comm)'!$A39,#REF!,"MFP (ST)",#REF!,"Revolving Programs")+SUMIFS(#REF!,#REF!,"2022",#REF!,'App. 3 (Comm)'!$A39,#REF!,"SCFP (ST)",#REF!,"Revolving Programs")</f>
        <v>#REF!</v>
      </c>
      <c r="H39" s="11" t="e">
        <f t="shared" si="0"/>
        <v>#REF!</v>
      </c>
      <c r="I39" s="11" t="e">
        <f>SUMIFS(#REF!,#REF!,"2022",#REF!,'App. 3 (Comm)'!$A39,#REF!,"Asia Pacific Vaccine Access Facility")-D39</f>
        <v>#REF!</v>
      </c>
      <c r="J39" s="11" t="e">
        <f>SUMIFS(#REF!,#REF!,"2022",#REF!,'App. 3 (Comm)'!$A39,#REF!,"COVID19 Pandemic Response Option")-E39</f>
        <v>#REF!</v>
      </c>
      <c r="K39" s="10" t="e">
        <f>SUMIFS(#REF!,#REF!,"2022",#REF!,'App. 3 (Comm)'!$A39)-J39-I39-E39-D39-F39-SUMIFS(#REF!,#REF!,"MFF-ADB",#REF!,"2022",#REF!,'App. 3 (Comm)'!$A39)</f>
        <v>#REF!</v>
      </c>
      <c r="L39" s="10" t="e">
        <f>SUMIFS(#REF!,#REF!,"2022",#REF!,'App. 3 (Comm)'!$A39)-G39-SUMIFS(#REF!,#REF!,"MFF-ADB",#REF!,"2022",#REF!,'App. 3 (Comm)'!$A39)-SUMIFS(#REF!,#REF!,"MFF-Official",#REF!,"2022",#REF!,'App. 3 (Comm)'!$A39)</f>
        <v>#REF!</v>
      </c>
      <c r="M39" s="10" t="e">
        <f t="shared" si="2"/>
        <v>#REF!</v>
      </c>
      <c r="N39" s="10" t="e">
        <f t="shared" si="1"/>
        <v>#REF!</v>
      </c>
    </row>
    <row r="40" spans="1:14">
      <c r="A40" s="3" t="s">
        <v>208</v>
      </c>
      <c r="C40" s="9" t="s">
        <v>42</v>
      </c>
      <c r="D40" s="10" t="e">
        <f>SUMIFS(#REF!,#REF!,"2022",#REF!,'App. 3 (Comm)'!$A40,#REF!,"Asia Pacific Vaccine Access Facility",#REF!,"ADB")+SUMIFS(#REF!,#REF!,"2022",#REF!,'App. 3 (Comm)'!$A40,#REF!,"Asia Pacific Vaccine Access Facility",#REF!,"Special Fund")</f>
        <v>#REF!</v>
      </c>
      <c r="E40" s="10" t="e">
        <f>SUMIFS(#REF!,#REF!,"2022",#REF!,'App. 3 (Comm)'!$A40,#REF!,"COVID19 Pandemic Response Option",#REF!,"ADB")+SUMIFS(#REF!,#REF!,"2022",#REF!,'App. 3 (Comm)'!$A40,#REF!,"COVID19 Pandemic Response Option",#REF!,"Special Fund")</f>
        <v>#REF!</v>
      </c>
      <c r="F40" s="10" t="e">
        <f>SUMIFS(#REF!,#REF!,"2022",#REF!,'App. 3 (Comm)'!$A40,#REF!,"ADB")+SUMIFS(#REF!,#REF!,"2022",#REF!,'App. 3 (Comm)'!$A40,#REF!,"Special Fund")+SUMIFS(#REF!,#REF!,"2022",#REF!,'App. 3 (Comm)'!$A40,#REF!,"TFP (LT)",#REF!,"Revolving Programs")+SUMIFS(#REF!,#REF!,"2022",#REF!,'App. 3 (Comm)'!$A40,#REF!,"MFP (LT)",#REF!,"Revolving Programs")+SUMIFS(#REF!,#REF!,"2022",#REF!,'App. 3 (Comm)'!$A40,#REF!,"SCFP (LT)",#REF!,"Revolving Programs")-E40-D40+SUMIFS(#REF!,#REF!,"2022",#REF!,'App. 3 (Comm)'!$A40,#REF!,"TFP (ST)",#REF!,"Revolving Programs")+SUMIFS(#REF!,#REF!,"2022",#REF!,'App. 3 (Comm)'!$A40,#REF!,"MFP (ST)",#REF!,"Revolving Programs")+SUMIFS(#REF!,#REF!,"2022",#REF!,'App. 3 (Comm)'!$A40,#REF!,"SCFP (ST)",#REF!,"Revolving Programs")</f>
        <v>#REF!</v>
      </c>
      <c r="G40" s="10" t="e">
        <f>SUMIFS(#REF!,#REF!,"2022",#REF!,'App. 3 (Comm)'!$A40,#REF!,"ADB")+SUMIFS(#REF!,#REF!,"2022",#REF!,'App. 3 (Comm)'!$A40,#REF!,"Special Fund")+SUMIFS(#REF!,#REF!,"2022",#REF!,'App. 3 (Comm)'!$A40,#REF!,"TFP (LT)",#REF!,"Revolving Programs")+SUMIFS(#REF!,#REF!,"2022",#REF!,'App. 3 (Comm)'!$A40,#REF!,"MFP (LT)",#REF!,"Revolving Programs")+SUMIFS(#REF!,#REF!,"2022",#REF!,'App. 3 (Comm)'!$A40,#REF!,"SCFP (LT)",#REF!,"Revolving Programs")+SUMIFS(#REF!,#REF!,"2022",#REF!,'App. 3 (Comm)'!$A40,#REF!,"TFP (ST)",#REF!,"Revolving Programs")+SUMIFS(#REF!,#REF!,"2022",#REF!,'App. 3 (Comm)'!$A40,#REF!,"MFP (ST)",#REF!,"Revolving Programs")+SUMIFS(#REF!,#REF!,"2022",#REF!,'App. 3 (Comm)'!$A40,#REF!,"SCFP (ST)",#REF!,"Revolving Programs")</f>
        <v>#REF!</v>
      </c>
      <c r="H40" s="11" t="e">
        <f t="shared" si="0"/>
        <v>#REF!</v>
      </c>
      <c r="I40" s="11" t="e">
        <f>SUMIFS(#REF!,#REF!,"2022",#REF!,'App. 3 (Comm)'!$A40,#REF!,"Asia Pacific Vaccine Access Facility")-D40</f>
        <v>#REF!</v>
      </c>
      <c r="J40" s="11" t="e">
        <f>SUMIFS(#REF!,#REF!,"2022",#REF!,'App. 3 (Comm)'!$A40,#REF!,"COVID19 Pandemic Response Option")-E40</f>
        <v>#REF!</v>
      </c>
      <c r="K40" s="10" t="e">
        <f>SUMIFS(#REF!,#REF!,"2022",#REF!,'App. 3 (Comm)'!$A40)-J40-I40-E40-D40-F40-SUMIFS(#REF!,#REF!,"MFF-ADB",#REF!,"2022",#REF!,'App. 3 (Comm)'!$A40)</f>
        <v>#REF!</v>
      </c>
      <c r="L40" s="10" t="e">
        <f>SUMIFS(#REF!,#REF!,"2022",#REF!,'App. 3 (Comm)'!$A40)-G40-SUMIFS(#REF!,#REF!,"MFF-ADB",#REF!,"2022",#REF!,'App. 3 (Comm)'!$A40)-SUMIFS(#REF!,#REF!,"MFF-Official",#REF!,"2022",#REF!,'App. 3 (Comm)'!$A40)</f>
        <v>#REF!</v>
      </c>
      <c r="M40" s="10" t="e">
        <f t="shared" si="2"/>
        <v>#REF!</v>
      </c>
      <c r="N40" s="10" t="e">
        <f t="shared" si="1"/>
        <v>#REF!</v>
      </c>
    </row>
    <row r="41" spans="1:14">
      <c r="A41" s="3" t="s">
        <v>209</v>
      </c>
      <c r="C41" s="9" t="s">
        <v>44</v>
      </c>
      <c r="D41" s="10" t="e">
        <f>SUMIFS(#REF!,#REF!,"2022",#REF!,'App. 3 (Comm)'!$A41,#REF!,"Asia Pacific Vaccine Access Facility",#REF!,"ADB")+SUMIFS(#REF!,#REF!,"2022",#REF!,'App. 3 (Comm)'!$A41,#REF!,"Asia Pacific Vaccine Access Facility",#REF!,"Special Fund")</f>
        <v>#REF!</v>
      </c>
      <c r="E41" s="10" t="e">
        <f>SUMIFS(#REF!,#REF!,"2022",#REF!,'App. 3 (Comm)'!$A41,#REF!,"COVID19 Pandemic Response Option",#REF!,"ADB")+SUMIFS(#REF!,#REF!,"2022",#REF!,'App. 3 (Comm)'!$A41,#REF!,"COVID19 Pandemic Response Option",#REF!,"Special Fund")</f>
        <v>#REF!</v>
      </c>
      <c r="F41" s="10" t="e">
        <f>SUMIFS(#REF!,#REF!,"2022",#REF!,'App. 3 (Comm)'!$A41,#REF!,"ADB")+SUMIFS(#REF!,#REF!,"2022",#REF!,'App. 3 (Comm)'!$A41,#REF!,"Special Fund")+SUMIFS(#REF!,#REF!,"2022",#REF!,'App. 3 (Comm)'!$A41,#REF!,"TFP (LT)",#REF!,"Revolving Programs")+SUMIFS(#REF!,#REF!,"2022",#REF!,'App. 3 (Comm)'!$A41,#REF!,"MFP (LT)",#REF!,"Revolving Programs")+SUMIFS(#REF!,#REF!,"2022",#REF!,'App. 3 (Comm)'!$A41,#REF!,"SCFP (LT)",#REF!,"Revolving Programs")-E41-D41+SUMIFS(#REF!,#REF!,"2022",#REF!,'App. 3 (Comm)'!$A41,#REF!,"TFP (ST)",#REF!,"Revolving Programs")+SUMIFS(#REF!,#REF!,"2022",#REF!,'App. 3 (Comm)'!$A41,#REF!,"MFP (ST)",#REF!,"Revolving Programs")+SUMIFS(#REF!,#REF!,"2022",#REF!,'App. 3 (Comm)'!$A41,#REF!,"SCFP (ST)",#REF!,"Revolving Programs")</f>
        <v>#REF!</v>
      </c>
      <c r="G41" s="10" t="e">
        <f>SUMIFS(#REF!,#REF!,"2022",#REF!,'App. 3 (Comm)'!$A41,#REF!,"ADB")+SUMIFS(#REF!,#REF!,"2022",#REF!,'App. 3 (Comm)'!$A41,#REF!,"Special Fund")+SUMIFS(#REF!,#REF!,"2022",#REF!,'App. 3 (Comm)'!$A41,#REF!,"TFP (LT)",#REF!,"Revolving Programs")+SUMIFS(#REF!,#REF!,"2022",#REF!,'App. 3 (Comm)'!$A41,#REF!,"MFP (LT)",#REF!,"Revolving Programs")+SUMIFS(#REF!,#REF!,"2022",#REF!,'App. 3 (Comm)'!$A41,#REF!,"SCFP (LT)",#REF!,"Revolving Programs")+SUMIFS(#REF!,#REF!,"2022",#REF!,'App. 3 (Comm)'!$A41,#REF!,"TFP (ST)",#REF!,"Revolving Programs")+SUMIFS(#REF!,#REF!,"2022",#REF!,'App. 3 (Comm)'!$A41,#REF!,"MFP (ST)",#REF!,"Revolving Programs")+SUMIFS(#REF!,#REF!,"2022",#REF!,'App. 3 (Comm)'!$A41,#REF!,"SCFP (ST)",#REF!,"Revolving Programs")</f>
        <v>#REF!</v>
      </c>
      <c r="H41" s="11" t="e">
        <f t="shared" si="0"/>
        <v>#REF!</v>
      </c>
      <c r="I41" s="11" t="e">
        <f>SUMIFS(#REF!,#REF!,"2022",#REF!,'App. 3 (Comm)'!$A41,#REF!,"Asia Pacific Vaccine Access Facility")-D41</f>
        <v>#REF!</v>
      </c>
      <c r="J41" s="11" t="e">
        <f>SUMIFS(#REF!,#REF!,"2022",#REF!,'App. 3 (Comm)'!$A41,#REF!,"COVID19 Pandemic Response Option")-E41</f>
        <v>#REF!</v>
      </c>
      <c r="K41" s="10" t="e">
        <f>SUMIFS(#REF!,#REF!,"2022",#REF!,'App. 3 (Comm)'!$A41)-J41-I41-E41-D41-F41-SUMIFS(#REF!,#REF!,"MFF-ADB",#REF!,"2022",#REF!,'App. 3 (Comm)'!$A41)</f>
        <v>#REF!</v>
      </c>
      <c r="L41" s="10" t="e">
        <f>SUMIFS(#REF!,#REF!,"2022",#REF!,'App. 3 (Comm)'!$A41)-G41-SUMIFS(#REF!,#REF!,"MFF-ADB",#REF!,"2022",#REF!,'App. 3 (Comm)'!$A41)-SUMIFS(#REF!,#REF!,"MFF-Official",#REF!,"2022",#REF!,'App. 3 (Comm)'!$A41)</f>
        <v>#REF!</v>
      </c>
      <c r="M41" s="10" t="e">
        <f t="shared" si="2"/>
        <v>#REF!</v>
      </c>
      <c r="N41" s="10" t="e">
        <f t="shared" si="1"/>
        <v>#REF!</v>
      </c>
    </row>
    <row r="42" spans="1:14">
      <c r="A42" s="3" t="s">
        <v>210</v>
      </c>
      <c r="C42" s="9" t="s">
        <v>45</v>
      </c>
      <c r="D42" s="10" t="e">
        <f>SUMIFS(#REF!,#REF!,"2022",#REF!,'App. 3 (Comm)'!$A42,#REF!,"Asia Pacific Vaccine Access Facility",#REF!,"ADB")+SUMIFS(#REF!,#REF!,"2022",#REF!,'App. 3 (Comm)'!$A42,#REF!,"Asia Pacific Vaccine Access Facility",#REF!,"Special Fund")</f>
        <v>#REF!</v>
      </c>
      <c r="E42" s="10" t="e">
        <f>SUMIFS(#REF!,#REF!,"2022",#REF!,'App. 3 (Comm)'!$A42,#REF!,"COVID19 Pandemic Response Option",#REF!,"ADB")+SUMIFS(#REF!,#REF!,"2022",#REF!,'App. 3 (Comm)'!$A42,#REF!,"COVID19 Pandemic Response Option",#REF!,"Special Fund")</f>
        <v>#REF!</v>
      </c>
      <c r="F42" s="10" t="e">
        <f>SUMIFS(#REF!,#REF!,"2022",#REF!,'App. 3 (Comm)'!$A42,#REF!,"ADB")+SUMIFS(#REF!,#REF!,"2022",#REF!,'App. 3 (Comm)'!$A42,#REF!,"Special Fund")+SUMIFS(#REF!,#REF!,"2022",#REF!,'App. 3 (Comm)'!$A42,#REF!,"TFP (LT)",#REF!,"Revolving Programs")+SUMIFS(#REF!,#REF!,"2022",#REF!,'App. 3 (Comm)'!$A42,#REF!,"MFP (LT)",#REF!,"Revolving Programs")+SUMIFS(#REF!,#REF!,"2022",#REF!,'App. 3 (Comm)'!$A42,#REF!,"SCFP (LT)",#REF!,"Revolving Programs")-E42-D42+SUMIFS(#REF!,#REF!,"2022",#REF!,'App. 3 (Comm)'!$A42,#REF!,"TFP (ST)",#REF!,"Revolving Programs")+SUMIFS(#REF!,#REF!,"2022",#REF!,'App. 3 (Comm)'!$A42,#REF!,"MFP (ST)",#REF!,"Revolving Programs")+SUMIFS(#REF!,#REF!,"2022",#REF!,'App. 3 (Comm)'!$A42,#REF!,"SCFP (ST)",#REF!,"Revolving Programs")</f>
        <v>#REF!</v>
      </c>
      <c r="G42" s="10" t="e">
        <f>SUMIFS(#REF!,#REF!,"2022",#REF!,'App. 3 (Comm)'!$A42,#REF!,"ADB")+SUMIFS(#REF!,#REF!,"2022",#REF!,'App. 3 (Comm)'!$A42,#REF!,"Special Fund")+SUMIFS(#REF!,#REF!,"2022",#REF!,'App. 3 (Comm)'!$A42,#REF!,"TFP (LT)",#REF!,"Revolving Programs")+SUMIFS(#REF!,#REF!,"2022",#REF!,'App. 3 (Comm)'!$A42,#REF!,"MFP (LT)",#REF!,"Revolving Programs")+SUMIFS(#REF!,#REF!,"2022",#REF!,'App. 3 (Comm)'!$A42,#REF!,"SCFP (LT)",#REF!,"Revolving Programs")+SUMIFS(#REF!,#REF!,"2022",#REF!,'App. 3 (Comm)'!$A42,#REF!,"TFP (ST)",#REF!,"Revolving Programs")+SUMIFS(#REF!,#REF!,"2022",#REF!,'App. 3 (Comm)'!$A42,#REF!,"MFP (ST)",#REF!,"Revolving Programs")+SUMIFS(#REF!,#REF!,"2022",#REF!,'App. 3 (Comm)'!$A42,#REF!,"SCFP (ST)",#REF!,"Revolving Programs")</f>
        <v>#REF!</v>
      </c>
      <c r="H42" s="11" t="e">
        <f t="shared" si="0"/>
        <v>#REF!</v>
      </c>
      <c r="I42" s="11" t="e">
        <f>SUMIFS(#REF!,#REF!,"2022",#REF!,'App. 3 (Comm)'!$A42,#REF!,"Asia Pacific Vaccine Access Facility")-D42</f>
        <v>#REF!</v>
      </c>
      <c r="J42" s="11" t="e">
        <f>SUMIFS(#REF!,#REF!,"2022",#REF!,'App. 3 (Comm)'!$A42,#REF!,"COVID19 Pandemic Response Option")-E42</f>
        <v>#REF!</v>
      </c>
      <c r="K42" s="10" t="e">
        <f>SUMIFS(#REF!,#REF!,"2022",#REF!,'App. 3 (Comm)'!$A42)-J42-I42-E42-D42-F42-SUMIFS(#REF!,#REF!,"MFF-ADB",#REF!,"2022",#REF!,'App. 3 (Comm)'!$A42)</f>
        <v>#REF!</v>
      </c>
      <c r="L42" s="10" t="e">
        <f>SUMIFS(#REF!,#REF!,"2022",#REF!,'App. 3 (Comm)'!$A42)-G42-SUMIFS(#REF!,#REF!,"MFF-ADB",#REF!,"2022",#REF!,'App. 3 (Comm)'!$A42)-SUMIFS(#REF!,#REF!,"MFF-Official",#REF!,"2022",#REF!,'App. 3 (Comm)'!$A42)</f>
        <v>#REF!</v>
      </c>
      <c r="M42" s="10" t="e">
        <f t="shared" si="2"/>
        <v>#REF!</v>
      </c>
      <c r="N42" s="10" t="e">
        <f t="shared" si="1"/>
        <v>#REF!</v>
      </c>
    </row>
    <row r="43" spans="1:14">
      <c r="A43" s="3" t="s">
        <v>214</v>
      </c>
      <c r="C43" s="9" t="s">
        <v>50</v>
      </c>
      <c r="D43" s="10" t="e">
        <f>SUMIFS(#REF!,#REF!,"2022",#REF!,'App. 3 (Comm)'!$A43,#REF!,"Asia Pacific Vaccine Access Facility",#REF!,"ADB")+SUMIFS(#REF!,#REF!,"2022",#REF!,'App. 3 (Comm)'!$A43,#REF!,"Asia Pacific Vaccine Access Facility",#REF!,"Special Fund")</f>
        <v>#REF!</v>
      </c>
      <c r="E43" s="10" t="e">
        <f>SUMIFS(#REF!,#REF!,"2022",#REF!,'App. 3 (Comm)'!$A43,#REF!,"COVID19 Pandemic Response Option",#REF!,"ADB")+SUMIFS(#REF!,#REF!,"2022",#REF!,'App. 3 (Comm)'!$A43,#REF!,"COVID19 Pandemic Response Option",#REF!,"Special Fund")</f>
        <v>#REF!</v>
      </c>
      <c r="F43" s="10" t="e">
        <f>SUMIFS(#REF!,#REF!,"2022",#REF!,'App. 3 (Comm)'!$A43,#REF!,"ADB")+SUMIFS(#REF!,#REF!,"2022",#REF!,'App. 3 (Comm)'!$A43,#REF!,"Special Fund")+SUMIFS(#REF!,#REF!,"2022",#REF!,'App. 3 (Comm)'!$A43,#REF!,"TFP (LT)",#REF!,"Revolving Programs")+SUMIFS(#REF!,#REF!,"2022",#REF!,'App. 3 (Comm)'!$A43,#REF!,"MFP (LT)",#REF!,"Revolving Programs")+SUMIFS(#REF!,#REF!,"2022",#REF!,'App. 3 (Comm)'!$A43,#REF!,"SCFP (LT)",#REF!,"Revolving Programs")-E43-D43+SUMIFS(#REF!,#REF!,"2022",#REF!,'App. 3 (Comm)'!$A43,#REF!,"TFP (ST)",#REF!,"Revolving Programs")+SUMIFS(#REF!,#REF!,"2022",#REF!,'App. 3 (Comm)'!$A43,#REF!,"MFP (ST)",#REF!,"Revolving Programs")+SUMIFS(#REF!,#REF!,"2022",#REF!,'App. 3 (Comm)'!$A43,#REF!,"SCFP (ST)",#REF!,"Revolving Programs")</f>
        <v>#REF!</v>
      </c>
      <c r="G43" s="10" t="e">
        <f>SUMIFS(#REF!,#REF!,"2022",#REF!,'App. 3 (Comm)'!$A43,#REF!,"ADB")+SUMIFS(#REF!,#REF!,"2022",#REF!,'App. 3 (Comm)'!$A43,#REF!,"Special Fund")+SUMIFS(#REF!,#REF!,"2022",#REF!,'App. 3 (Comm)'!$A43,#REF!,"TFP (LT)",#REF!,"Revolving Programs")+SUMIFS(#REF!,#REF!,"2022",#REF!,'App. 3 (Comm)'!$A43,#REF!,"MFP (LT)",#REF!,"Revolving Programs")+SUMIFS(#REF!,#REF!,"2022",#REF!,'App. 3 (Comm)'!$A43,#REF!,"SCFP (LT)",#REF!,"Revolving Programs")+SUMIFS(#REF!,#REF!,"2022",#REF!,'App. 3 (Comm)'!$A43,#REF!,"TFP (ST)",#REF!,"Revolving Programs")+SUMIFS(#REF!,#REF!,"2022",#REF!,'App. 3 (Comm)'!$A43,#REF!,"MFP (ST)",#REF!,"Revolving Programs")+SUMIFS(#REF!,#REF!,"2022",#REF!,'App. 3 (Comm)'!$A43,#REF!,"SCFP (ST)",#REF!,"Revolving Programs")</f>
        <v>#REF!</v>
      </c>
      <c r="H43" s="11" t="e">
        <f t="shared" si="0"/>
        <v>#REF!</v>
      </c>
      <c r="I43" s="11" t="e">
        <f>SUMIFS(#REF!,#REF!,"2022",#REF!,'App. 3 (Comm)'!$A43,#REF!,"Asia Pacific Vaccine Access Facility")-D43</f>
        <v>#REF!</v>
      </c>
      <c r="J43" s="11" t="e">
        <f>SUMIFS(#REF!,#REF!,"2022",#REF!,'App. 3 (Comm)'!$A43,#REF!,"COVID19 Pandemic Response Option")-E43</f>
        <v>#REF!</v>
      </c>
      <c r="K43" s="10" t="e">
        <f>SUMIFS(#REF!,#REF!,"2022",#REF!,'App. 3 (Comm)'!$A43)-J43-I43-E43-D43-F43-SUMIFS(#REF!,#REF!,"MFF-ADB",#REF!,"2022",#REF!,'App. 3 (Comm)'!$A43)</f>
        <v>#REF!</v>
      </c>
      <c r="L43" s="10" t="e">
        <f>SUMIFS(#REF!,#REF!,"2022",#REF!,'App. 3 (Comm)'!$A43)-G43-SUMIFS(#REF!,#REF!,"MFF-ADB",#REF!,"2022",#REF!,'App. 3 (Comm)'!$A43)-SUMIFS(#REF!,#REF!,"MFF-Official",#REF!,"2022",#REF!,'App. 3 (Comm)'!$A43)</f>
        <v>#REF!</v>
      </c>
      <c r="M43" s="10" t="e">
        <f t="shared" si="2"/>
        <v>#REF!</v>
      </c>
      <c r="N43" s="10" t="e">
        <f t="shared" si="1"/>
        <v>#REF!</v>
      </c>
    </row>
    <row r="44" spans="1:14">
      <c r="A44" s="3" t="s">
        <v>215</v>
      </c>
      <c r="C44" s="9" t="s">
        <v>52</v>
      </c>
      <c r="D44" s="10" t="e">
        <f>SUMIFS(#REF!,#REF!,"2022",#REF!,'App. 3 (Comm)'!$A44,#REF!,"Asia Pacific Vaccine Access Facility",#REF!,"ADB")+SUMIFS(#REF!,#REF!,"2022",#REF!,'App. 3 (Comm)'!$A44,#REF!,"Asia Pacific Vaccine Access Facility",#REF!,"Special Fund")</f>
        <v>#REF!</v>
      </c>
      <c r="E44" s="10" t="e">
        <f>SUMIFS(#REF!,#REF!,"2022",#REF!,'App. 3 (Comm)'!$A44,#REF!,"COVID19 Pandemic Response Option",#REF!,"ADB")+SUMIFS(#REF!,#REF!,"2022",#REF!,'App. 3 (Comm)'!$A44,#REF!,"COVID19 Pandemic Response Option",#REF!,"Special Fund")</f>
        <v>#REF!</v>
      </c>
      <c r="F44" s="10" t="e">
        <f>SUMIFS(#REF!,#REF!,"2022",#REF!,'App. 3 (Comm)'!$A44,#REF!,"ADB")+SUMIFS(#REF!,#REF!,"2022",#REF!,'App. 3 (Comm)'!$A44,#REF!,"Special Fund")+SUMIFS(#REF!,#REF!,"2022",#REF!,'App. 3 (Comm)'!$A44,#REF!,"TFP (LT)",#REF!,"Revolving Programs")+SUMIFS(#REF!,#REF!,"2022",#REF!,'App. 3 (Comm)'!$A44,#REF!,"MFP (LT)",#REF!,"Revolving Programs")+SUMIFS(#REF!,#REF!,"2022",#REF!,'App. 3 (Comm)'!$A44,#REF!,"SCFP (LT)",#REF!,"Revolving Programs")-E44-D44+SUMIFS(#REF!,#REF!,"2022",#REF!,'App. 3 (Comm)'!$A44,#REF!,"TFP (ST)",#REF!,"Revolving Programs")+SUMIFS(#REF!,#REF!,"2022",#REF!,'App. 3 (Comm)'!$A44,#REF!,"MFP (ST)",#REF!,"Revolving Programs")+SUMIFS(#REF!,#REF!,"2022",#REF!,'App. 3 (Comm)'!$A44,#REF!,"SCFP (ST)",#REF!,"Revolving Programs")</f>
        <v>#REF!</v>
      </c>
      <c r="G44" s="10" t="e">
        <f>SUMIFS(#REF!,#REF!,"2022",#REF!,'App. 3 (Comm)'!$A44,#REF!,"ADB")+SUMIFS(#REF!,#REF!,"2022",#REF!,'App. 3 (Comm)'!$A44,#REF!,"Special Fund")+SUMIFS(#REF!,#REF!,"2022",#REF!,'App. 3 (Comm)'!$A44,#REF!,"TFP (LT)",#REF!,"Revolving Programs")+SUMIFS(#REF!,#REF!,"2022",#REF!,'App. 3 (Comm)'!$A44,#REF!,"MFP (LT)",#REF!,"Revolving Programs")+SUMIFS(#REF!,#REF!,"2022",#REF!,'App. 3 (Comm)'!$A44,#REF!,"SCFP (LT)",#REF!,"Revolving Programs")+SUMIFS(#REF!,#REF!,"2022",#REF!,'App. 3 (Comm)'!$A44,#REF!,"TFP (ST)",#REF!,"Revolving Programs")+SUMIFS(#REF!,#REF!,"2022",#REF!,'App. 3 (Comm)'!$A44,#REF!,"MFP (ST)",#REF!,"Revolving Programs")+SUMIFS(#REF!,#REF!,"2022",#REF!,'App. 3 (Comm)'!$A44,#REF!,"SCFP (ST)",#REF!,"Revolving Programs")</f>
        <v>#REF!</v>
      </c>
      <c r="H44" s="11" t="e">
        <f t="shared" si="0"/>
        <v>#REF!</v>
      </c>
      <c r="I44" s="11" t="e">
        <f>SUMIFS(#REF!,#REF!,"2022",#REF!,'App. 3 (Comm)'!$A44,#REF!,"Asia Pacific Vaccine Access Facility")-D44</f>
        <v>#REF!</v>
      </c>
      <c r="J44" s="11" t="e">
        <f>SUMIFS(#REF!,#REF!,"2022",#REF!,'App. 3 (Comm)'!$A44,#REF!,"COVID19 Pandemic Response Option")-E44</f>
        <v>#REF!</v>
      </c>
      <c r="K44" s="10" t="e">
        <f>SUMIFS(#REF!,#REF!,"2022",#REF!,'App. 3 (Comm)'!$A44)-J44-I44-E44-D44-F44-SUMIFS(#REF!,#REF!,"MFF-ADB",#REF!,"2022",#REF!,'App. 3 (Comm)'!$A44)</f>
        <v>#REF!</v>
      </c>
      <c r="L44" s="10" t="e">
        <f>SUMIFS(#REF!,#REF!,"2022",#REF!,'App. 3 (Comm)'!$A44)-G44-SUMIFS(#REF!,#REF!,"MFF-ADB",#REF!,"2022",#REF!,'App. 3 (Comm)'!$A44)-SUMIFS(#REF!,#REF!,"MFF-Official",#REF!,"2022",#REF!,'App. 3 (Comm)'!$A44)</f>
        <v>#REF!</v>
      </c>
      <c r="M44" s="10" t="e">
        <f t="shared" si="2"/>
        <v>#REF!</v>
      </c>
      <c r="N44" s="10" t="e">
        <f t="shared" si="1"/>
        <v>#REF!</v>
      </c>
    </row>
    <row r="45" spans="1:14">
      <c r="A45" s="3" t="s">
        <v>216</v>
      </c>
      <c r="C45" s="15" t="s">
        <v>54</v>
      </c>
      <c r="D45" s="10" t="e">
        <f>SUMIFS(#REF!,#REF!,"2022",#REF!,'App. 3 (Comm)'!$A45,#REF!,"Asia Pacific Vaccine Access Facility",#REF!,"ADB")+SUMIFS(#REF!,#REF!,"2022",#REF!,'App. 3 (Comm)'!$A45,#REF!,"Asia Pacific Vaccine Access Facility",#REF!,"Special Fund")</f>
        <v>#REF!</v>
      </c>
      <c r="E45" s="10" t="e">
        <f>SUMIFS(#REF!,#REF!,"2022",#REF!,'App. 3 (Comm)'!$A45,#REF!,"COVID19 Pandemic Response Option",#REF!,"ADB")+SUMIFS(#REF!,#REF!,"2022",#REF!,'App. 3 (Comm)'!$A45,#REF!,"COVID19 Pandemic Response Option",#REF!,"Special Fund")</f>
        <v>#REF!</v>
      </c>
      <c r="F45" s="10" t="e">
        <f>SUMIFS(#REF!,#REF!,"2022",#REF!,'App. 3 (Comm)'!$A45,#REF!,"ADB")+SUMIFS(#REF!,#REF!,"2022",#REF!,'App. 3 (Comm)'!$A45,#REF!,"Special Fund")+SUMIFS(#REF!,#REF!,"2022",#REF!,'App. 3 (Comm)'!$A45,#REF!,"TFP (LT)",#REF!,"Revolving Programs")+SUMIFS(#REF!,#REF!,"2022",#REF!,'App. 3 (Comm)'!$A45,#REF!,"MFP (LT)",#REF!,"Revolving Programs")+SUMIFS(#REF!,#REF!,"2022",#REF!,'App. 3 (Comm)'!$A45,#REF!,"SCFP (LT)",#REF!,"Revolving Programs")-E45-D45+SUMIFS(#REF!,#REF!,"2022",#REF!,'App. 3 (Comm)'!$A45,#REF!,"TFP (ST)",#REF!,"Revolving Programs")+SUMIFS(#REF!,#REF!,"2022",#REF!,'App. 3 (Comm)'!$A45,#REF!,"MFP (ST)",#REF!,"Revolving Programs")+SUMIFS(#REF!,#REF!,"2022",#REF!,'App. 3 (Comm)'!$A45,#REF!,"SCFP (ST)",#REF!,"Revolving Programs")</f>
        <v>#REF!</v>
      </c>
      <c r="G45" s="10" t="e">
        <f>SUMIFS(#REF!,#REF!,"2022",#REF!,'App. 3 (Comm)'!$A45,#REF!,"ADB")+SUMIFS(#REF!,#REF!,"2022",#REF!,'App. 3 (Comm)'!$A45,#REF!,"Special Fund")+SUMIFS(#REF!,#REF!,"2022",#REF!,'App. 3 (Comm)'!$A45,#REF!,"TFP (LT)",#REF!,"Revolving Programs")+SUMIFS(#REF!,#REF!,"2022",#REF!,'App. 3 (Comm)'!$A45,#REF!,"MFP (LT)",#REF!,"Revolving Programs")+SUMIFS(#REF!,#REF!,"2022",#REF!,'App. 3 (Comm)'!$A45,#REF!,"SCFP (LT)",#REF!,"Revolving Programs")+SUMIFS(#REF!,#REF!,"2022",#REF!,'App. 3 (Comm)'!$A45,#REF!,"TFP (ST)",#REF!,"Revolving Programs")+SUMIFS(#REF!,#REF!,"2022",#REF!,'App. 3 (Comm)'!$A45,#REF!,"MFP (ST)",#REF!,"Revolving Programs")+SUMIFS(#REF!,#REF!,"2022",#REF!,'App. 3 (Comm)'!$A45,#REF!,"SCFP (ST)",#REF!,"Revolving Programs")</f>
        <v>#REF!</v>
      </c>
      <c r="H45" s="11" t="e">
        <f t="shared" si="0"/>
        <v>#REF!</v>
      </c>
      <c r="I45" s="11" t="e">
        <f>SUMIFS(#REF!,#REF!,"2022",#REF!,'App. 3 (Comm)'!$A45,#REF!,"Asia Pacific Vaccine Access Facility")-D45</f>
        <v>#REF!</v>
      </c>
      <c r="J45" s="11" t="e">
        <f>SUMIFS(#REF!,#REF!,"2022",#REF!,'App. 3 (Comm)'!$A45,#REF!,"COVID19 Pandemic Response Option")-E45</f>
        <v>#REF!</v>
      </c>
      <c r="K45" s="10" t="e">
        <f>SUMIFS(#REF!,#REF!,"2022",#REF!,'App. 3 (Comm)'!$A45)-J45-I45-E45-D45-F45-SUMIFS(#REF!,#REF!,"MFF-ADB",#REF!,"2022",#REF!,'App. 3 (Comm)'!$A45)</f>
        <v>#REF!</v>
      </c>
      <c r="L45" s="10" t="e">
        <f>SUMIFS(#REF!,#REF!,"2022",#REF!,'App. 3 (Comm)'!$A45)-G45-SUMIFS(#REF!,#REF!,"MFF-ADB",#REF!,"2022",#REF!,'App. 3 (Comm)'!$A45)-SUMIFS(#REF!,#REF!,"MFF-Official",#REF!,"2022",#REF!,'App. 3 (Comm)'!$A45)</f>
        <v>#REF!</v>
      </c>
      <c r="M45" s="10" t="e">
        <f t="shared" si="2"/>
        <v>#REF!</v>
      </c>
      <c r="N45" s="10" t="e">
        <f t="shared" si="1"/>
        <v>#REF!</v>
      </c>
    </row>
    <row r="46" spans="1:14" ht="15">
      <c r="C46" s="6" t="s">
        <v>217</v>
      </c>
      <c r="D46" s="7" t="e">
        <f>SUM(D47:D57)</f>
        <v>#REF!</v>
      </c>
      <c r="E46" s="7" t="e">
        <f>SUM(E47:E57)</f>
        <v>#REF!</v>
      </c>
      <c r="F46" s="7" t="e">
        <f>SUM(F47:F57)</f>
        <v>#REF!</v>
      </c>
      <c r="G46" s="7" t="e">
        <f>SUM(G47:G57)</f>
        <v>#REF!</v>
      </c>
      <c r="H46" s="7" t="e">
        <f t="shared" si="0"/>
        <v>#REF!</v>
      </c>
      <c r="I46" s="7" t="e">
        <f>SUM(I48:I57)</f>
        <v>#REF!</v>
      </c>
      <c r="J46" s="7" t="e">
        <f>SUM(J47:J57)</f>
        <v>#REF!</v>
      </c>
      <c r="K46" s="7" t="e">
        <f>SUM(K47:K57)</f>
        <v>#REF!</v>
      </c>
      <c r="L46" s="7" t="e">
        <f>SUM(L47:L57)</f>
        <v>#REF!</v>
      </c>
      <c r="M46" s="7" t="e">
        <f t="shared" si="2"/>
        <v>#REF!</v>
      </c>
      <c r="N46" s="7" t="e">
        <f t="shared" si="1"/>
        <v>#REF!</v>
      </c>
    </row>
    <row r="47" spans="1:14">
      <c r="A47" s="3" t="s">
        <v>283</v>
      </c>
      <c r="C47" s="9" t="s">
        <v>105</v>
      </c>
      <c r="D47" s="10" t="e">
        <f>SUMIFS(#REF!,#REF!,"2022",#REF!,'App. 3 (Comm)'!$A47,#REF!,"Asia Pacific Vaccine Access Facility",#REF!,"ADB")+SUMIFS(#REF!,#REF!,"2022",#REF!,'App. 3 (Comm)'!$A47,#REF!,"Asia Pacific Vaccine Access Facility",#REF!,"Special Fund")</f>
        <v>#REF!</v>
      </c>
      <c r="E47" s="10" t="e">
        <f>SUMIFS(#REF!,#REF!,"2022",#REF!,'App. 3 (Comm)'!$A47,#REF!,"COVID19 Pandemic Response Option",#REF!,"ADB")+SUMIFS(#REF!,#REF!,"2022",#REF!,'App. 3 (Comm)'!$A47,#REF!,"COVID19 Pandemic Response Option",#REF!,"Special Fund")</f>
        <v>#REF!</v>
      </c>
      <c r="F47" s="10" t="e">
        <f>SUMIFS(#REF!,#REF!,"2022",#REF!,'App. 3 (Comm)'!$A47,#REF!,"ADB")+SUMIFS(#REF!,#REF!,"2022",#REF!,'App. 3 (Comm)'!$A47,#REF!,"Special Fund")+SUMIFS(#REF!,#REF!,"2022",#REF!,'App. 3 (Comm)'!$A47,#REF!,"TFP (LT)",#REF!,"Revolving Programs")+SUMIFS(#REF!,#REF!,"2022",#REF!,'App. 3 (Comm)'!$A47,#REF!,"MFP (LT)",#REF!,"Revolving Programs")+SUMIFS(#REF!,#REF!,"2022",#REF!,'App. 3 (Comm)'!$A47,#REF!,"SCFP (LT)",#REF!,"Revolving Programs")-E47-D47+SUMIFS(#REF!,#REF!,"2022",#REF!,'App. 3 (Comm)'!$A47,#REF!,"TFP (ST)",#REF!,"Revolving Programs")+SUMIFS(#REF!,#REF!,"2022",#REF!,'App. 3 (Comm)'!$A47,#REF!,"MFP (ST)",#REF!,"Revolving Programs")+SUMIFS(#REF!,#REF!,"2022",#REF!,'App. 3 (Comm)'!$A47,#REF!,"SCFP (ST)",#REF!,"Revolving Programs")</f>
        <v>#REF!</v>
      </c>
      <c r="G47" s="10" t="e">
        <f>SUMIFS(#REF!,#REF!,"2022",#REF!,'App. 3 (Comm)'!$A47,#REF!,"ADB")+SUMIFS(#REF!,#REF!,"2022",#REF!,'App. 3 (Comm)'!$A47,#REF!,"Special Fund")+SUMIFS(#REF!,#REF!,"2022",#REF!,'App. 3 (Comm)'!$A47,#REF!,"TFP (LT)",#REF!,"Revolving Programs")+SUMIFS(#REF!,#REF!,"2022",#REF!,'App. 3 (Comm)'!$A47,#REF!,"MFP (LT)",#REF!,"Revolving Programs")+SUMIFS(#REF!,#REF!,"2022",#REF!,'App. 3 (Comm)'!$A47,#REF!,"SCFP (LT)",#REF!,"Revolving Programs")+SUMIFS(#REF!,#REF!,"2022",#REF!,'App. 3 (Comm)'!$A47,#REF!,"TFP (ST)",#REF!,"Revolving Programs")+SUMIFS(#REF!,#REF!,"2022",#REF!,'App. 3 (Comm)'!$A47,#REF!,"MFP (ST)",#REF!,"Revolving Programs")+SUMIFS(#REF!,#REF!,"2022",#REF!,'App. 3 (Comm)'!$A47,#REF!,"SCFP (ST)",#REF!,"Revolving Programs")</f>
        <v>#REF!</v>
      </c>
      <c r="H47" s="11" t="e">
        <f t="shared" si="0"/>
        <v>#REF!</v>
      </c>
      <c r="I47" s="11" t="e">
        <f>SUMIFS(#REF!,#REF!,"2022",#REF!,'App. 3 (Comm)'!$A47,#REF!,"Asia Pacific Vaccine Access Facility")-D47</f>
        <v>#REF!</v>
      </c>
      <c r="J47" s="11" t="e">
        <f>SUMIFS(#REF!,#REF!,"2022",#REF!,'App. 3 (Comm)'!$A47,#REF!,"COVID19 Pandemic Response Option")-E47</f>
        <v>#REF!</v>
      </c>
      <c r="K47" s="10" t="e">
        <f>SUMIFS(#REF!,#REF!,"2022",#REF!,'App. 3 (Comm)'!$A47)-J47-I47-E47-D47-F47-SUMIFS(#REF!,#REF!,"MFF-ADB",#REF!,"2022",#REF!,'App. 3 (Comm)'!$A47)</f>
        <v>#REF!</v>
      </c>
      <c r="L47" s="10" t="e">
        <f>SUMIFS(#REF!,#REF!,"2022",#REF!,'App. 3 (Comm)'!$A47)-G47-SUMIFS(#REF!,#REF!,"MFF-ADB",#REF!,"2022",#REF!,'App. 3 (Comm)'!$A47)-SUMIFS(#REF!,#REF!,"MFF-Official",#REF!,"2022",#REF!,'App. 3 (Comm)'!$A47)</f>
        <v>#REF!</v>
      </c>
      <c r="M47" s="10" t="e">
        <f t="shared" si="2"/>
        <v>#REF!</v>
      </c>
      <c r="N47" s="10" t="e">
        <f t="shared" si="1"/>
        <v>#REF!</v>
      </c>
    </row>
    <row r="48" spans="1:14">
      <c r="A48" s="3" t="s">
        <v>218</v>
      </c>
      <c r="C48" s="9" t="s">
        <v>15</v>
      </c>
      <c r="D48" s="10" t="e">
        <f>SUMIFS(#REF!,#REF!,"2022",#REF!,'App. 3 (Comm)'!$A48,#REF!,"Asia Pacific Vaccine Access Facility",#REF!,"ADB")+SUMIFS(#REF!,#REF!,"2022",#REF!,'App. 3 (Comm)'!$A48,#REF!,"Asia Pacific Vaccine Access Facility",#REF!,"Special Fund")</f>
        <v>#REF!</v>
      </c>
      <c r="E48" s="10" t="e">
        <f>SUMIFS(#REF!,#REF!,"2022",#REF!,'App. 3 (Comm)'!$A48,#REF!,"COVID19 Pandemic Response Option",#REF!,"ADB")+SUMIFS(#REF!,#REF!,"2022",#REF!,'App. 3 (Comm)'!$A48,#REF!,"COVID19 Pandemic Response Option",#REF!,"Special Fund")</f>
        <v>#REF!</v>
      </c>
      <c r="F48" s="10" t="e">
        <f>SUMIFS(#REF!,#REF!,"2022",#REF!,'App. 3 (Comm)'!$A48,#REF!,"ADB")+SUMIFS(#REF!,#REF!,"2022",#REF!,'App. 3 (Comm)'!$A48,#REF!,"Special Fund")+SUMIFS(#REF!,#REF!,"2022",#REF!,'App. 3 (Comm)'!$A48,#REF!,"TFP (LT)",#REF!,"Revolving Programs")+SUMIFS(#REF!,#REF!,"2022",#REF!,'App. 3 (Comm)'!$A48,#REF!,"MFP (LT)",#REF!,"Revolving Programs")+SUMIFS(#REF!,#REF!,"2022",#REF!,'App. 3 (Comm)'!$A48,#REF!,"SCFP (LT)",#REF!,"Revolving Programs")-E48-D48+SUMIFS(#REF!,#REF!,"2022",#REF!,'App. 3 (Comm)'!$A48,#REF!,"TFP (ST)",#REF!,"Revolving Programs")+SUMIFS(#REF!,#REF!,"2022",#REF!,'App. 3 (Comm)'!$A48,#REF!,"MFP (ST)",#REF!,"Revolving Programs")+SUMIFS(#REF!,#REF!,"2022",#REF!,'App. 3 (Comm)'!$A48,#REF!,"SCFP (ST)",#REF!,"Revolving Programs")</f>
        <v>#REF!</v>
      </c>
      <c r="G48" s="10" t="e">
        <f>SUMIFS(#REF!,#REF!,"2022",#REF!,'App. 3 (Comm)'!$A48,#REF!,"ADB")+SUMIFS(#REF!,#REF!,"2022",#REF!,'App. 3 (Comm)'!$A48,#REF!,"Special Fund")+SUMIFS(#REF!,#REF!,"2022",#REF!,'App. 3 (Comm)'!$A48,#REF!,"TFP (LT)",#REF!,"Revolving Programs")+SUMIFS(#REF!,#REF!,"2022",#REF!,'App. 3 (Comm)'!$A48,#REF!,"MFP (LT)",#REF!,"Revolving Programs")+SUMIFS(#REF!,#REF!,"2022",#REF!,'App. 3 (Comm)'!$A48,#REF!,"SCFP (LT)",#REF!,"Revolving Programs")+SUMIFS(#REF!,#REF!,"2022",#REF!,'App. 3 (Comm)'!$A48,#REF!,"TFP (ST)",#REF!,"Revolving Programs")+SUMIFS(#REF!,#REF!,"2022",#REF!,'App. 3 (Comm)'!$A48,#REF!,"MFP (ST)",#REF!,"Revolving Programs")+SUMIFS(#REF!,#REF!,"2022",#REF!,'App. 3 (Comm)'!$A48,#REF!,"SCFP (ST)",#REF!,"Revolving Programs")</f>
        <v>#REF!</v>
      </c>
      <c r="H48" s="11" t="e">
        <f t="shared" si="0"/>
        <v>#REF!</v>
      </c>
      <c r="I48" s="11" t="e">
        <f>SUMIFS(#REF!,#REF!,"2022",#REF!,'App. 3 (Comm)'!$A48,#REF!,"Asia Pacific Vaccine Access Facility")-D48</f>
        <v>#REF!</v>
      </c>
      <c r="J48" s="11" t="e">
        <f>SUMIFS(#REF!,#REF!,"2022",#REF!,'App. 3 (Comm)'!$A48,#REF!,"COVID19 Pandemic Response Option")-E48</f>
        <v>#REF!</v>
      </c>
      <c r="K48" s="10" t="e">
        <f>SUMIFS(#REF!,#REF!,"2022",#REF!,'App. 3 (Comm)'!$A48)-J48-I48-E48-D48-F48-SUMIFS(#REF!,#REF!,"MFF-ADB",#REF!,"2022",#REF!,'App. 3 (Comm)'!$A48)</f>
        <v>#REF!</v>
      </c>
      <c r="L48" s="10" t="e">
        <f>SUMIFS(#REF!,#REF!,"2022",#REF!,'App. 3 (Comm)'!$A48)-G48-SUMIFS(#REF!,#REF!,"MFF-ADB",#REF!,"2022",#REF!,'App. 3 (Comm)'!$A48)-SUMIFS(#REF!,#REF!,"MFF-Official",#REF!,"2022",#REF!,'App. 3 (Comm)'!$A48)</f>
        <v>#REF!</v>
      </c>
      <c r="M48" s="10" t="e">
        <f t="shared" si="2"/>
        <v>#REF!</v>
      </c>
      <c r="N48" s="10" t="e">
        <f t="shared" si="1"/>
        <v>#REF!</v>
      </c>
    </row>
    <row r="49" spans="1:14">
      <c r="A49" s="3" t="s">
        <v>220</v>
      </c>
      <c r="C49" s="9" t="s">
        <v>26</v>
      </c>
      <c r="D49" s="10" t="e">
        <f>SUMIFS(#REF!,#REF!,"2022",#REF!,'App. 3 (Comm)'!$A49,#REF!,"Asia Pacific Vaccine Access Facility",#REF!,"ADB")+SUMIFS(#REF!,#REF!,"2022",#REF!,'App. 3 (Comm)'!$A49,#REF!,"Asia Pacific Vaccine Access Facility",#REF!,"Special Fund")</f>
        <v>#REF!</v>
      </c>
      <c r="E49" s="10" t="e">
        <f>SUMIFS(#REF!,#REF!,"2022",#REF!,'App. 3 (Comm)'!$A49,#REF!,"COVID19 Pandemic Response Option",#REF!,"ADB")+SUMIFS(#REF!,#REF!,"2022",#REF!,'App. 3 (Comm)'!$A49,#REF!,"COVID19 Pandemic Response Option",#REF!,"Special Fund")</f>
        <v>#REF!</v>
      </c>
      <c r="F49" s="10" t="e">
        <f>SUMIFS(#REF!,#REF!,"2022",#REF!,'App. 3 (Comm)'!$A49,#REF!,"ADB")+SUMIFS(#REF!,#REF!,"2022",#REF!,'App. 3 (Comm)'!$A49,#REF!,"Special Fund")+SUMIFS(#REF!,#REF!,"2022",#REF!,'App. 3 (Comm)'!$A49,#REF!,"TFP (LT)",#REF!,"Revolving Programs")+SUMIFS(#REF!,#REF!,"2022",#REF!,'App. 3 (Comm)'!$A49,#REF!,"MFP (LT)",#REF!,"Revolving Programs")+SUMIFS(#REF!,#REF!,"2022",#REF!,'App. 3 (Comm)'!$A49,#REF!,"SCFP (LT)",#REF!,"Revolving Programs")-E49-D49+SUMIFS(#REF!,#REF!,"2022",#REF!,'App. 3 (Comm)'!$A49,#REF!,"TFP (ST)",#REF!,"Revolving Programs")+SUMIFS(#REF!,#REF!,"2022",#REF!,'App. 3 (Comm)'!$A49,#REF!,"MFP (ST)",#REF!,"Revolving Programs")+SUMIFS(#REF!,#REF!,"2022",#REF!,'App. 3 (Comm)'!$A49,#REF!,"SCFP (ST)",#REF!,"Revolving Programs")</f>
        <v>#REF!</v>
      </c>
      <c r="G49" s="10" t="e">
        <f>SUMIFS(#REF!,#REF!,"2022",#REF!,'App. 3 (Comm)'!$A49,#REF!,"ADB")+SUMIFS(#REF!,#REF!,"2022",#REF!,'App. 3 (Comm)'!$A49,#REF!,"Special Fund")+SUMIFS(#REF!,#REF!,"2022",#REF!,'App. 3 (Comm)'!$A49,#REF!,"TFP (LT)",#REF!,"Revolving Programs")+SUMIFS(#REF!,#REF!,"2022",#REF!,'App. 3 (Comm)'!$A49,#REF!,"MFP (LT)",#REF!,"Revolving Programs")+SUMIFS(#REF!,#REF!,"2022",#REF!,'App. 3 (Comm)'!$A49,#REF!,"SCFP (LT)",#REF!,"Revolving Programs")+SUMIFS(#REF!,#REF!,"2022",#REF!,'App. 3 (Comm)'!$A49,#REF!,"TFP (ST)",#REF!,"Revolving Programs")+SUMIFS(#REF!,#REF!,"2022",#REF!,'App. 3 (Comm)'!$A49,#REF!,"MFP (ST)",#REF!,"Revolving Programs")+SUMIFS(#REF!,#REF!,"2022",#REF!,'App. 3 (Comm)'!$A49,#REF!,"SCFP (ST)",#REF!,"Revolving Programs")</f>
        <v>#REF!</v>
      </c>
      <c r="H49" s="11" t="e">
        <f t="shared" si="0"/>
        <v>#REF!</v>
      </c>
      <c r="I49" s="11" t="e">
        <f>SUMIFS(#REF!,#REF!,"2022",#REF!,'App. 3 (Comm)'!$A49,#REF!,"Asia Pacific Vaccine Access Facility")-D49</f>
        <v>#REF!</v>
      </c>
      <c r="J49" s="11" t="e">
        <f>SUMIFS(#REF!,#REF!,"2022",#REF!,'App. 3 (Comm)'!$A49,#REF!,"COVID19 Pandemic Response Option")-E49</f>
        <v>#REF!</v>
      </c>
      <c r="K49" s="10" t="e">
        <f>SUMIFS(#REF!,#REF!,"2022",#REF!,'App. 3 (Comm)'!$A49)-J49-I49-E49-D49-F49-SUMIFS(#REF!,#REF!,"MFF-ADB",#REF!,"2022",#REF!,'App. 3 (Comm)'!$A49)</f>
        <v>#REF!</v>
      </c>
      <c r="L49" s="10" t="e">
        <f>SUMIFS(#REF!,#REF!,"2022",#REF!,'App. 3 (Comm)'!$A49)-G49-SUMIFS(#REF!,#REF!,"MFF-ADB",#REF!,"2022",#REF!,'App. 3 (Comm)'!$A49)-SUMIFS(#REF!,#REF!,"MFF-Official",#REF!,"2022",#REF!,'App. 3 (Comm)'!$A49)</f>
        <v>#REF!</v>
      </c>
      <c r="M49" s="10" t="e">
        <f t="shared" si="2"/>
        <v>#REF!</v>
      </c>
      <c r="N49" s="10" t="e">
        <f t="shared" si="1"/>
        <v>#REF!</v>
      </c>
    </row>
    <row r="50" spans="1:14">
      <c r="A50" s="3" t="s">
        <v>221</v>
      </c>
      <c r="C50" s="9" t="s">
        <v>31</v>
      </c>
      <c r="D50" s="10" t="e">
        <f>SUMIFS(#REF!,#REF!,"2022",#REF!,'App. 3 (Comm)'!$A50,#REF!,"Asia Pacific Vaccine Access Facility",#REF!,"ADB")+SUMIFS(#REF!,#REF!,"2022",#REF!,'App. 3 (Comm)'!$A50,#REF!,"Asia Pacific Vaccine Access Facility",#REF!,"Special Fund")</f>
        <v>#REF!</v>
      </c>
      <c r="E50" s="10" t="e">
        <f>SUMIFS(#REF!,#REF!,"2022",#REF!,'App. 3 (Comm)'!$A50,#REF!,"COVID19 Pandemic Response Option",#REF!,"ADB")+SUMIFS(#REF!,#REF!,"2022",#REF!,'App. 3 (Comm)'!$A50,#REF!,"COVID19 Pandemic Response Option",#REF!,"Special Fund")</f>
        <v>#REF!</v>
      </c>
      <c r="F50" s="10" t="e">
        <f>SUMIFS(#REF!,#REF!,"2022",#REF!,'App. 3 (Comm)'!$A50,#REF!,"ADB")+SUMIFS(#REF!,#REF!,"2022",#REF!,'App. 3 (Comm)'!$A50,#REF!,"Special Fund")+SUMIFS(#REF!,#REF!,"2022",#REF!,'App. 3 (Comm)'!$A50,#REF!,"TFP (LT)",#REF!,"Revolving Programs")+SUMIFS(#REF!,#REF!,"2022",#REF!,'App. 3 (Comm)'!$A50,#REF!,"MFP (LT)",#REF!,"Revolving Programs")+SUMIFS(#REF!,#REF!,"2022",#REF!,'App. 3 (Comm)'!$A50,#REF!,"SCFP (LT)",#REF!,"Revolving Programs")-E50-D50+SUMIFS(#REF!,#REF!,"2022",#REF!,'App. 3 (Comm)'!$A50,#REF!,"TFP (ST)",#REF!,"Revolving Programs")+SUMIFS(#REF!,#REF!,"2022",#REF!,'App. 3 (Comm)'!$A50,#REF!,"MFP (ST)",#REF!,"Revolving Programs")+SUMIFS(#REF!,#REF!,"2022",#REF!,'App. 3 (Comm)'!$A50,#REF!,"SCFP (ST)",#REF!,"Revolving Programs")</f>
        <v>#REF!</v>
      </c>
      <c r="G50" s="10" t="e">
        <f>SUMIFS(#REF!,#REF!,"2022",#REF!,'App. 3 (Comm)'!$A50,#REF!,"ADB")+SUMIFS(#REF!,#REF!,"2022",#REF!,'App. 3 (Comm)'!$A50,#REF!,"Special Fund")+SUMIFS(#REF!,#REF!,"2022",#REF!,'App. 3 (Comm)'!$A50,#REF!,"TFP (LT)",#REF!,"Revolving Programs")+SUMIFS(#REF!,#REF!,"2022",#REF!,'App. 3 (Comm)'!$A50,#REF!,"MFP (LT)",#REF!,"Revolving Programs")+SUMIFS(#REF!,#REF!,"2022",#REF!,'App. 3 (Comm)'!$A50,#REF!,"SCFP (LT)",#REF!,"Revolving Programs")+SUMIFS(#REF!,#REF!,"2022",#REF!,'App. 3 (Comm)'!$A50,#REF!,"TFP (ST)",#REF!,"Revolving Programs")+SUMIFS(#REF!,#REF!,"2022",#REF!,'App. 3 (Comm)'!$A50,#REF!,"MFP (ST)",#REF!,"Revolving Programs")+SUMIFS(#REF!,#REF!,"2022",#REF!,'App. 3 (Comm)'!$A50,#REF!,"SCFP (ST)",#REF!,"Revolving Programs")</f>
        <v>#REF!</v>
      </c>
      <c r="H50" s="11" t="e">
        <f t="shared" si="0"/>
        <v>#REF!</v>
      </c>
      <c r="I50" s="11" t="e">
        <f>SUMIFS(#REF!,#REF!,"2022",#REF!,'App. 3 (Comm)'!$A50,#REF!,"Asia Pacific Vaccine Access Facility")-D50</f>
        <v>#REF!</v>
      </c>
      <c r="J50" s="11" t="e">
        <f>SUMIFS(#REF!,#REF!,"2022",#REF!,'App. 3 (Comm)'!$A50,#REF!,"COVID19 Pandemic Response Option")-E50</f>
        <v>#REF!</v>
      </c>
      <c r="K50" s="10" t="e">
        <f>SUMIFS(#REF!,#REF!,"2022",#REF!,'App. 3 (Comm)'!$A50)-J50-I50-E50-D50-F50-SUMIFS(#REF!,#REF!,"MFF-ADB",#REF!,"2022",#REF!,'App. 3 (Comm)'!$A50)</f>
        <v>#REF!</v>
      </c>
      <c r="L50" s="10" t="e">
        <f>SUMIFS(#REF!,#REF!,"2022",#REF!,'App. 3 (Comm)'!$A50)-G50-SUMIFS(#REF!,#REF!,"MFF-ADB",#REF!,"2022",#REF!,'App. 3 (Comm)'!$A50)-SUMIFS(#REF!,#REF!,"MFF-Official",#REF!,"2022",#REF!,'App. 3 (Comm)'!$A50)</f>
        <v>#REF!</v>
      </c>
      <c r="M50" s="10" t="e">
        <f t="shared" si="2"/>
        <v>#REF!</v>
      </c>
      <c r="N50" s="10" t="e">
        <f t="shared" si="1"/>
        <v>#REF!</v>
      </c>
    </row>
    <row r="51" spans="1:14">
      <c r="A51" s="3" t="s">
        <v>222</v>
      </c>
      <c r="C51" s="9" t="s">
        <v>32</v>
      </c>
      <c r="D51" s="10" t="e">
        <f>SUMIFS(#REF!,#REF!,"2022",#REF!,'App. 3 (Comm)'!$A51,#REF!,"Asia Pacific Vaccine Access Facility",#REF!,"ADB")+SUMIFS(#REF!,#REF!,"2022",#REF!,'App. 3 (Comm)'!$A51,#REF!,"Asia Pacific Vaccine Access Facility",#REF!,"Special Fund")</f>
        <v>#REF!</v>
      </c>
      <c r="E51" s="10" t="e">
        <f>SUMIFS(#REF!,#REF!,"2022",#REF!,'App. 3 (Comm)'!$A51,#REF!,"COVID19 Pandemic Response Option",#REF!,"ADB")+SUMIFS(#REF!,#REF!,"2022",#REF!,'App. 3 (Comm)'!$A51,#REF!,"COVID19 Pandemic Response Option",#REF!,"Special Fund")</f>
        <v>#REF!</v>
      </c>
      <c r="F51" s="10" t="e">
        <f>SUMIFS(#REF!,#REF!,"2022",#REF!,'App. 3 (Comm)'!$A51,#REF!,"ADB")+SUMIFS(#REF!,#REF!,"2022",#REF!,'App. 3 (Comm)'!$A51,#REF!,"Special Fund")+SUMIFS(#REF!,#REF!,"2022",#REF!,'App. 3 (Comm)'!$A51,#REF!,"TFP (LT)",#REF!,"Revolving Programs")+SUMIFS(#REF!,#REF!,"2022",#REF!,'App. 3 (Comm)'!$A51,#REF!,"MFP (LT)",#REF!,"Revolving Programs")+SUMIFS(#REF!,#REF!,"2022",#REF!,'App. 3 (Comm)'!$A51,#REF!,"SCFP (LT)",#REF!,"Revolving Programs")-E51-D51+SUMIFS(#REF!,#REF!,"2022",#REF!,'App. 3 (Comm)'!$A51,#REF!,"TFP (ST)",#REF!,"Revolving Programs")+SUMIFS(#REF!,#REF!,"2022",#REF!,'App. 3 (Comm)'!$A51,#REF!,"MFP (ST)",#REF!,"Revolving Programs")+SUMIFS(#REF!,#REF!,"2022",#REF!,'App. 3 (Comm)'!$A51,#REF!,"SCFP (ST)",#REF!,"Revolving Programs")</f>
        <v>#REF!</v>
      </c>
      <c r="G51" s="10" t="e">
        <f>SUMIFS(#REF!,#REF!,"2022",#REF!,'App. 3 (Comm)'!$A51,#REF!,"ADB")+SUMIFS(#REF!,#REF!,"2022",#REF!,'App. 3 (Comm)'!$A51,#REF!,"Special Fund")+SUMIFS(#REF!,#REF!,"2022",#REF!,'App. 3 (Comm)'!$A51,#REF!,"TFP (LT)",#REF!,"Revolving Programs")+SUMIFS(#REF!,#REF!,"2022",#REF!,'App. 3 (Comm)'!$A51,#REF!,"MFP (LT)",#REF!,"Revolving Programs")+SUMIFS(#REF!,#REF!,"2022",#REF!,'App. 3 (Comm)'!$A51,#REF!,"SCFP (LT)",#REF!,"Revolving Programs")+SUMIFS(#REF!,#REF!,"2022",#REF!,'App. 3 (Comm)'!$A51,#REF!,"TFP (ST)",#REF!,"Revolving Programs")+SUMIFS(#REF!,#REF!,"2022",#REF!,'App. 3 (Comm)'!$A51,#REF!,"MFP (ST)",#REF!,"Revolving Programs")+SUMIFS(#REF!,#REF!,"2022",#REF!,'App. 3 (Comm)'!$A51,#REF!,"SCFP (ST)",#REF!,"Revolving Programs")</f>
        <v>#REF!</v>
      </c>
      <c r="H51" s="11" t="e">
        <f t="shared" si="0"/>
        <v>#REF!</v>
      </c>
      <c r="I51" s="11" t="e">
        <f>SUMIFS(#REF!,#REF!,"2022",#REF!,'App. 3 (Comm)'!$A51,#REF!,"Asia Pacific Vaccine Access Facility")-D51</f>
        <v>#REF!</v>
      </c>
      <c r="J51" s="11" t="e">
        <f>SUMIFS(#REF!,#REF!,"2022",#REF!,'App. 3 (Comm)'!$A51,#REF!,"COVID19 Pandemic Response Option")-E51</f>
        <v>#REF!</v>
      </c>
      <c r="K51" s="10" t="e">
        <f>SUMIFS(#REF!,#REF!,"2022",#REF!,'App. 3 (Comm)'!$A51)-J51-I51-E51-D51-F51-SUMIFS(#REF!,#REF!,"MFF-ADB",#REF!,"2022",#REF!,'App. 3 (Comm)'!$A51)</f>
        <v>#REF!</v>
      </c>
      <c r="L51" s="10" t="e">
        <f>SUMIFS(#REF!,#REF!,"2022",#REF!,'App. 3 (Comm)'!$A51)-G51-SUMIFS(#REF!,#REF!,"MFF-ADB",#REF!,"2022",#REF!,'App. 3 (Comm)'!$A51)-SUMIFS(#REF!,#REF!,"MFF-Official",#REF!,"2022",#REF!,'App. 3 (Comm)'!$A51)</f>
        <v>#REF!</v>
      </c>
      <c r="M51" s="10" t="e">
        <f t="shared" si="2"/>
        <v>#REF!</v>
      </c>
      <c r="N51" s="10" t="e">
        <f t="shared" si="1"/>
        <v>#REF!</v>
      </c>
    </row>
    <row r="52" spans="1:14" ht="16.5">
      <c r="A52" s="3" t="s">
        <v>223</v>
      </c>
      <c r="C52" s="9" t="s">
        <v>284</v>
      </c>
      <c r="D52" s="10" t="e">
        <f>SUMIFS(#REF!,#REF!,"2022",#REF!,'App. 3 (Comm)'!$A52,#REF!,"Asia Pacific Vaccine Access Facility",#REF!,"ADB")+SUMIFS(#REF!,#REF!,"2022",#REF!,'App. 3 (Comm)'!$A52,#REF!,"Asia Pacific Vaccine Access Facility",#REF!,"Special Fund")</f>
        <v>#REF!</v>
      </c>
      <c r="E52" s="10" t="e">
        <f>SUMIFS(#REF!,#REF!,"2022",#REF!,'App. 3 (Comm)'!$A52,#REF!,"COVID19 Pandemic Response Option",#REF!,"ADB")+SUMIFS(#REF!,#REF!,"2022",#REF!,'App. 3 (Comm)'!$A52,#REF!,"COVID19 Pandemic Response Option",#REF!,"Special Fund")</f>
        <v>#REF!</v>
      </c>
      <c r="F52" s="10" t="e">
        <f>SUMIFS(#REF!,#REF!,"2022",#REF!,'App. 3 (Comm)'!$A52,#REF!,"ADB")+SUMIFS(#REF!,#REF!,"2022",#REF!,'App. 3 (Comm)'!$A52,#REF!,"Special Fund")+SUMIFS(#REF!,#REF!,"2022",#REF!,'App. 3 (Comm)'!$A52,#REF!,"TFP (LT)",#REF!,"Revolving Programs")+SUMIFS(#REF!,#REF!,"2022",#REF!,'App. 3 (Comm)'!$A52,#REF!,"MFP (LT)",#REF!,"Revolving Programs")+SUMIFS(#REF!,#REF!,"2022",#REF!,'App. 3 (Comm)'!$A52,#REF!,"SCFP (LT)",#REF!,"Revolving Programs")-E52-D52+SUMIFS(#REF!,#REF!,"2022",#REF!,'App. 3 (Comm)'!$A52,#REF!,"TFP (ST)",#REF!,"Revolving Programs")+SUMIFS(#REF!,#REF!,"2022",#REF!,'App. 3 (Comm)'!$A52,#REF!,"MFP (ST)",#REF!,"Revolving Programs")+SUMIFS(#REF!,#REF!,"2022",#REF!,'App. 3 (Comm)'!$A52,#REF!,"SCFP (ST)",#REF!,"Revolving Programs")</f>
        <v>#REF!</v>
      </c>
      <c r="G52" s="10" t="e">
        <f>SUMIFS(#REF!,#REF!,"2022",#REF!,'App. 3 (Comm)'!$A52,#REF!,"ADB")+SUMIFS(#REF!,#REF!,"2022",#REF!,'App. 3 (Comm)'!$A52,#REF!,"Special Fund")+SUMIFS(#REF!,#REF!,"2022",#REF!,'App. 3 (Comm)'!$A52,#REF!,"TFP (LT)",#REF!,"Revolving Programs")+SUMIFS(#REF!,#REF!,"2022",#REF!,'App. 3 (Comm)'!$A52,#REF!,"MFP (LT)",#REF!,"Revolving Programs")+SUMIFS(#REF!,#REF!,"2022",#REF!,'App. 3 (Comm)'!$A52,#REF!,"SCFP (LT)",#REF!,"Revolving Programs")+SUMIFS(#REF!,#REF!,"2022",#REF!,'App. 3 (Comm)'!$A52,#REF!,"TFP (ST)",#REF!,"Revolving Programs")+SUMIFS(#REF!,#REF!,"2022",#REF!,'App. 3 (Comm)'!$A52,#REF!,"MFP (ST)",#REF!,"Revolving Programs")+SUMIFS(#REF!,#REF!,"2022",#REF!,'App. 3 (Comm)'!$A52,#REF!,"SCFP (ST)",#REF!,"Revolving Programs")</f>
        <v>#REF!</v>
      </c>
      <c r="H52" s="11" t="e">
        <f t="shared" si="0"/>
        <v>#REF!</v>
      </c>
      <c r="I52" s="11" t="e">
        <f>SUMIFS(#REF!,#REF!,"2022",#REF!,'App. 3 (Comm)'!$A52,#REF!,"Asia Pacific Vaccine Access Facility")-D52</f>
        <v>#REF!</v>
      </c>
      <c r="J52" s="11" t="e">
        <f>SUMIFS(#REF!,#REF!,"2022",#REF!,'App. 3 (Comm)'!$A52,#REF!,"COVID19 Pandemic Response Option")-E52</f>
        <v>#REF!</v>
      </c>
      <c r="K52" s="10" t="e">
        <f>SUMIFS(#REF!,#REF!,"2022",#REF!,'App. 3 (Comm)'!$A52)-J52-I52-E52-D52-F52-SUMIFS(#REF!,#REF!,"MFF-ADB",#REF!,"2022",#REF!,'App. 3 (Comm)'!$A52)</f>
        <v>#REF!</v>
      </c>
      <c r="L52" s="10" t="e">
        <f>SUMIFS(#REF!,#REF!,"2022",#REF!,'App. 3 (Comm)'!$A52)-G52-SUMIFS(#REF!,#REF!,"MFF-ADB",#REF!,"2022",#REF!,'App. 3 (Comm)'!$A52)-SUMIFS(#REF!,#REF!,"MFF-Official",#REF!,"2022",#REF!,'App. 3 (Comm)'!$A52)</f>
        <v>#REF!</v>
      </c>
      <c r="M52" s="10" t="e">
        <f t="shared" si="2"/>
        <v>#REF!</v>
      </c>
      <c r="N52" s="10" t="e">
        <f t="shared" si="1"/>
        <v>#REF!</v>
      </c>
    </row>
    <row r="53" spans="1:14">
      <c r="A53" s="3" t="s">
        <v>224</v>
      </c>
      <c r="C53" s="9" t="s">
        <v>43</v>
      </c>
      <c r="D53" s="10" t="e">
        <f>SUMIFS(#REF!,#REF!,"2022",#REF!,'App. 3 (Comm)'!$A53,#REF!,"Asia Pacific Vaccine Access Facility",#REF!,"ADB")+SUMIFS(#REF!,#REF!,"2022",#REF!,'App. 3 (Comm)'!$A53,#REF!,"Asia Pacific Vaccine Access Facility",#REF!,"Special Fund")</f>
        <v>#REF!</v>
      </c>
      <c r="E53" s="10" t="e">
        <f>SUMIFS(#REF!,#REF!,"2022",#REF!,'App. 3 (Comm)'!$A53,#REF!,"COVID19 Pandemic Response Option",#REF!,"ADB")+SUMIFS(#REF!,#REF!,"2022",#REF!,'App. 3 (Comm)'!$A53,#REF!,"COVID19 Pandemic Response Option",#REF!,"Special Fund")</f>
        <v>#REF!</v>
      </c>
      <c r="F53" s="10" t="e">
        <f>SUMIFS(#REF!,#REF!,"2022",#REF!,'App. 3 (Comm)'!$A53,#REF!,"ADB")+SUMIFS(#REF!,#REF!,"2022",#REF!,'App. 3 (Comm)'!$A53,#REF!,"Special Fund")+SUMIFS(#REF!,#REF!,"2022",#REF!,'App. 3 (Comm)'!$A53,#REF!,"TFP (LT)",#REF!,"Revolving Programs")+SUMIFS(#REF!,#REF!,"2022",#REF!,'App. 3 (Comm)'!$A53,#REF!,"MFP (LT)",#REF!,"Revolving Programs")+SUMIFS(#REF!,#REF!,"2022",#REF!,'App. 3 (Comm)'!$A53,#REF!,"SCFP (LT)",#REF!,"Revolving Programs")-E53-D53+SUMIFS(#REF!,#REF!,"2022",#REF!,'App. 3 (Comm)'!$A53,#REF!,"TFP (ST)",#REF!,"Revolving Programs")+SUMIFS(#REF!,#REF!,"2022",#REF!,'App. 3 (Comm)'!$A53,#REF!,"MFP (ST)",#REF!,"Revolving Programs")+SUMIFS(#REF!,#REF!,"2022",#REF!,'App. 3 (Comm)'!$A53,#REF!,"SCFP (ST)",#REF!,"Revolving Programs")</f>
        <v>#REF!</v>
      </c>
      <c r="G53" s="10" t="e">
        <f>SUMIFS(#REF!,#REF!,"2022",#REF!,'App. 3 (Comm)'!$A53,#REF!,"ADB")+SUMIFS(#REF!,#REF!,"2022",#REF!,'App. 3 (Comm)'!$A53,#REF!,"Special Fund")+SUMIFS(#REF!,#REF!,"2022",#REF!,'App. 3 (Comm)'!$A53,#REF!,"TFP (LT)",#REF!,"Revolving Programs")+SUMIFS(#REF!,#REF!,"2022",#REF!,'App. 3 (Comm)'!$A53,#REF!,"MFP (LT)",#REF!,"Revolving Programs")+SUMIFS(#REF!,#REF!,"2022",#REF!,'App. 3 (Comm)'!$A53,#REF!,"SCFP (LT)",#REF!,"Revolving Programs")+SUMIFS(#REF!,#REF!,"2022",#REF!,'App. 3 (Comm)'!$A53,#REF!,"TFP (ST)",#REF!,"Revolving Programs")+SUMIFS(#REF!,#REF!,"2022",#REF!,'App. 3 (Comm)'!$A53,#REF!,"MFP (ST)",#REF!,"Revolving Programs")+SUMIFS(#REF!,#REF!,"2022",#REF!,'App. 3 (Comm)'!$A53,#REF!,"SCFP (ST)",#REF!,"Revolving Programs")</f>
        <v>#REF!</v>
      </c>
      <c r="H53" s="11" t="e">
        <f t="shared" si="0"/>
        <v>#REF!</v>
      </c>
      <c r="I53" s="11" t="e">
        <f>SUMIFS(#REF!,#REF!,"2022",#REF!,'App. 3 (Comm)'!$A53,#REF!,"Asia Pacific Vaccine Access Facility")-D53</f>
        <v>#REF!</v>
      </c>
      <c r="J53" s="11" t="e">
        <f>SUMIFS(#REF!,#REF!,"2022",#REF!,'App. 3 (Comm)'!$A53,#REF!,"COVID19 Pandemic Response Option")-E53</f>
        <v>#REF!</v>
      </c>
      <c r="K53" s="10" t="e">
        <f>SUMIFS(#REF!,#REF!,"2022",#REF!,'App. 3 (Comm)'!$A53)-J53-I53-E53-D53-F53-SUMIFS(#REF!,#REF!,"MFF-ADB",#REF!,"2022",#REF!,'App. 3 (Comm)'!$A53)</f>
        <v>#REF!</v>
      </c>
      <c r="L53" s="10" t="e">
        <f>SUMIFS(#REF!,#REF!,"2022",#REF!,'App. 3 (Comm)'!$A53)-G53-SUMIFS(#REF!,#REF!,"MFF-ADB",#REF!,"2022",#REF!,'App. 3 (Comm)'!$A53)-SUMIFS(#REF!,#REF!,"MFF-Official",#REF!,"2022",#REF!,'App. 3 (Comm)'!$A53)</f>
        <v>#REF!</v>
      </c>
      <c r="M53" s="10" t="e">
        <f t="shared" si="2"/>
        <v>#REF!</v>
      </c>
      <c r="N53" s="10" t="e">
        <f t="shared" si="1"/>
        <v>#REF!</v>
      </c>
    </row>
    <row r="54" spans="1:14" hidden="1">
      <c r="A54" s="3" t="s">
        <v>285</v>
      </c>
      <c r="C54" s="9" t="s">
        <v>112</v>
      </c>
      <c r="D54" s="10" t="e">
        <f>SUMIFS(#REF!,#REF!,"2022",#REF!,'App. 3 (Comm)'!$A54,#REF!,"Asia Pacific Vaccine Access Facility",#REF!,"ADB")+SUMIFS(#REF!,#REF!,"2022",#REF!,'App. 3 (Comm)'!$A54,#REF!,"Asia Pacific Vaccine Access Facility",#REF!,"Special Fund")</f>
        <v>#REF!</v>
      </c>
      <c r="E54" s="10" t="e">
        <f>SUMIFS(#REF!,#REF!,"2022",#REF!,'App. 3 (Comm)'!$A54,#REF!,"COVID19 Pandemic Response Option",#REF!,"ADB")+SUMIFS(#REF!,#REF!,"2022",#REF!,'App. 3 (Comm)'!$A54,#REF!,"COVID19 Pandemic Response Option",#REF!,"Special Fund")</f>
        <v>#REF!</v>
      </c>
      <c r="F54" s="10" t="e">
        <f>SUMIFS(#REF!,#REF!,"2022",#REF!,'App. 3 (Comm)'!$A54,#REF!,"ADB")+SUMIFS(#REF!,#REF!,"2022",#REF!,'App. 3 (Comm)'!$A54,#REF!,"Special Fund")+SUMIFS(#REF!,#REF!,"2022",#REF!,'App. 3 (Comm)'!$A54,#REF!,"TFP (LT)",#REF!,"Revolving Programs")+SUMIFS(#REF!,#REF!,"2022",#REF!,'App. 3 (Comm)'!$A54,#REF!,"MFP (LT)",#REF!,"Revolving Programs")+SUMIFS(#REF!,#REF!,"2022",#REF!,'App. 3 (Comm)'!$A54,#REF!,"SCFP (LT)",#REF!,"Revolving Programs")-E54-D54+SUMIFS(#REF!,#REF!,"2022",#REF!,'App. 3 (Comm)'!$A54,#REF!,"TFP (ST)",#REF!,"Revolving Programs")+SUMIFS(#REF!,#REF!,"2022",#REF!,'App. 3 (Comm)'!$A54,#REF!,"MFP (ST)",#REF!,"Revolving Programs")+SUMIFS(#REF!,#REF!,"2022",#REF!,'App. 3 (Comm)'!$A54,#REF!,"SCFP (ST)",#REF!,"Revolving Programs")</f>
        <v>#REF!</v>
      </c>
      <c r="G54" s="10" t="e">
        <f>SUMIFS(#REF!,#REF!,"2022",#REF!,'App. 3 (Comm)'!$A54,#REF!,"ADB")+SUMIFS(#REF!,#REF!,"2022",#REF!,'App. 3 (Comm)'!$A54,#REF!,"Special Fund")+SUMIFS(#REF!,#REF!,"2022",#REF!,'App. 3 (Comm)'!$A54,#REF!,"TFP (LT)",#REF!,"Revolving Programs")+SUMIFS(#REF!,#REF!,"2022",#REF!,'App. 3 (Comm)'!$A54,#REF!,"MFP (LT)",#REF!,"Revolving Programs")+SUMIFS(#REF!,#REF!,"2022",#REF!,'App. 3 (Comm)'!$A54,#REF!,"SCFP (LT)",#REF!,"Revolving Programs")+SUMIFS(#REF!,#REF!,"2022",#REF!,'App. 3 (Comm)'!$A54,#REF!,"TFP (ST)",#REF!,"Revolving Programs")+SUMIFS(#REF!,#REF!,"2022",#REF!,'App. 3 (Comm)'!$A54,#REF!,"MFP (ST)",#REF!,"Revolving Programs")+SUMIFS(#REF!,#REF!,"2022",#REF!,'App. 3 (Comm)'!$A54,#REF!,"SCFP (ST)",#REF!,"Revolving Programs")</f>
        <v>#REF!</v>
      </c>
      <c r="H54" s="11" t="e">
        <f t="shared" si="0"/>
        <v>#REF!</v>
      </c>
      <c r="I54" s="11" t="e">
        <f>SUMIFS(#REF!,#REF!,"2022",#REF!,'App. 3 (Comm)'!$A54,#REF!,"Asia Pacific Vaccine Access Facility")-D54</f>
        <v>#REF!</v>
      </c>
      <c r="J54" s="11" t="e">
        <f>SUMIFS(#REF!,#REF!,"2022",#REF!,'App. 3 (Comm)'!$A54,#REF!,"COVID19 Pandemic Response Option")-E54</f>
        <v>#REF!</v>
      </c>
      <c r="K54" s="10" t="e">
        <f>SUMIFS(#REF!,#REF!,"2022",#REF!,'App. 3 (Comm)'!$A54)-J54-I54-E54-D54-F54-SUMIFS(#REF!,#REF!,"MFF-ADB",#REF!,"2022",#REF!,'App. 3 (Comm)'!$A54)</f>
        <v>#REF!</v>
      </c>
      <c r="L54" s="10" t="e">
        <f>SUMIFS(#REF!,#REF!,"2022",#REF!,'App. 3 (Comm)'!$A54)-G54-SUMIFS(#REF!,#REF!,"MFF-ADB",#REF!,"2022",#REF!,'App. 3 (Comm)'!$A54)-SUMIFS(#REF!,#REF!,"MFF-Official",#REF!,"2022",#REF!,'App. 3 (Comm)'!$A54)</f>
        <v>#REF!</v>
      </c>
      <c r="M54" s="10" t="e">
        <f t="shared" si="2"/>
        <v>#REF!</v>
      </c>
      <c r="N54" s="10" t="e">
        <f t="shared" si="1"/>
        <v>#REF!</v>
      </c>
    </row>
    <row r="55" spans="1:14">
      <c r="A55" s="3" t="s">
        <v>225</v>
      </c>
      <c r="C55" s="9" t="s">
        <v>48</v>
      </c>
      <c r="D55" s="10" t="e">
        <f>SUMIFS(#REF!,#REF!,"2022",#REF!,'App. 3 (Comm)'!$A55,#REF!,"Asia Pacific Vaccine Access Facility",#REF!,"ADB")+SUMIFS(#REF!,#REF!,"2022",#REF!,'App. 3 (Comm)'!$A55,#REF!,"Asia Pacific Vaccine Access Facility",#REF!,"Special Fund")</f>
        <v>#REF!</v>
      </c>
      <c r="E55" s="10" t="e">
        <f>SUMIFS(#REF!,#REF!,"2022",#REF!,'App. 3 (Comm)'!$A55,#REF!,"COVID19 Pandemic Response Option",#REF!,"ADB")+SUMIFS(#REF!,#REF!,"2022",#REF!,'App. 3 (Comm)'!$A55,#REF!,"COVID19 Pandemic Response Option",#REF!,"Special Fund")</f>
        <v>#REF!</v>
      </c>
      <c r="F55" s="10" t="e">
        <f>SUMIFS(#REF!,#REF!,"2022",#REF!,'App. 3 (Comm)'!$A55,#REF!,"ADB")+SUMIFS(#REF!,#REF!,"2022",#REF!,'App. 3 (Comm)'!$A55,#REF!,"Special Fund")+SUMIFS(#REF!,#REF!,"2022",#REF!,'App. 3 (Comm)'!$A55,#REF!,"TFP (LT)",#REF!,"Revolving Programs")+SUMIFS(#REF!,#REF!,"2022",#REF!,'App. 3 (Comm)'!$A55,#REF!,"MFP (LT)",#REF!,"Revolving Programs")+SUMIFS(#REF!,#REF!,"2022",#REF!,'App. 3 (Comm)'!$A55,#REF!,"SCFP (LT)",#REF!,"Revolving Programs")-E55-D55+SUMIFS(#REF!,#REF!,"2022",#REF!,'App. 3 (Comm)'!$A55,#REF!,"TFP (ST)",#REF!,"Revolving Programs")+SUMIFS(#REF!,#REF!,"2022",#REF!,'App. 3 (Comm)'!$A55,#REF!,"MFP (ST)",#REF!,"Revolving Programs")+SUMIFS(#REF!,#REF!,"2022",#REF!,'App. 3 (Comm)'!$A55,#REF!,"SCFP (ST)",#REF!,"Revolving Programs")</f>
        <v>#REF!</v>
      </c>
      <c r="G55" s="10" t="e">
        <f>SUMIFS(#REF!,#REF!,"2022",#REF!,'App. 3 (Comm)'!$A55,#REF!,"ADB")+SUMIFS(#REF!,#REF!,"2022",#REF!,'App. 3 (Comm)'!$A55,#REF!,"Special Fund")+SUMIFS(#REF!,#REF!,"2022",#REF!,'App. 3 (Comm)'!$A55,#REF!,"TFP (LT)",#REF!,"Revolving Programs")+SUMIFS(#REF!,#REF!,"2022",#REF!,'App. 3 (Comm)'!$A55,#REF!,"MFP (LT)",#REF!,"Revolving Programs")+SUMIFS(#REF!,#REF!,"2022",#REF!,'App. 3 (Comm)'!$A55,#REF!,"SCFP (LT)",#REF!,"Revolving Programs")+SUMIFS(#REF!,#REF!,"2022",#REF!,'App. 3 (Comm)'!$A55,#REF!,"TFP (ST)",#REF!,"Revolving Programs")+SUMIFS(#REF!,#REF!,"2022",#REF!,'App. 3 (Comm)'!$A55,#REF!,"MFP (ST)",#REF!,"Revolving Programs")+SUMIFS(#REF!,#REF!,"2022",#REF!,'App. 3 (Comm)'!$A55,#REF!,"SCFP (ST)",#REF!,"Revolving Programs")</f>
        <v>#REF!</v>
      </c>
      <c r="H55" s="11" t="e">
        <f t="shared" si="0"/>
        <v>#REF!</v>
      </c>
      <c r="I55" s="11" t="e">
        <f>SUMIFS(#REF!,#REF!,"2022",#REF!,'App. 3 (Comm)'!$A55,#REF!,"Asia Pacific Vaccine Access Facility")-D55</f>
        <v>#REF!</v>
      </c>
      <c r="J55" s="11" t="e">
        <f>SUMIFS(#REF!,#REF!,"2022",#REF!,'App. 3 (Comm)'!$A55,#REF!,"COVID19 Pandemic Response Option")-E55</f>
        <v>#REF!</v>
      </c>
      <c r="K55" s="10" t="e">
        <f>SUMIFS(#REF!,#REF!,"2022",#REF!,'App. 3 (Comm)'!$A55)-J55-I55-E55-D55-F55-SUMIFS(#REF!,#REF!,"MFF-ADB",#REF!,"2022",#REF!,'App. 3 (Comm)'!$A55)</f>
        <v>#REF!</v>
      </c>
      <c r="L55" s="10" t="e">
        <f>SUMIFS(#REF!,#REF!,"2022",#REF!,'App. 3 (Comm)'!$A55)-G55-SUMIFS(#REF!,#REF!,"MFF-ADB",#REF!,"2022",#REF!,'App. 3 (Comm)'!$A55)-SUMIFS(#REF!,#REF!,"MFF-Official",#REF!,"2022",#REF!,'App. 3 (Comm)'!$A55)</f>
        <v>#REF!</v>
      </c>
      <c r="M55" s="10" t="e">
        <f t="shared" si="2"/>
        <v>#REF!</v>
      </c>
      <c r="N55" s="10" t="e">
        <f t="shared" si="1"/>
        <v>#REF!</v>
      </c>
    </row>
    <row r="56" spans="1:14">
      <c r="A56" s="3" t="s">
        <v>211</v>
      </c>
      <c r="C56" s="9" t="s">
        <v>49</v>
      </c>
      <c r="D56" s="10" t="e">
        <f>SUMIFS(#REF!,#REF!,"2022",#REF!,'App. 3 (Comm)'!$A56,#REF!,"Asia Pacific Vaccine Access Facility",#REF!,"ADB")+SUMIFS(#REF!,#REF!,"2022",#REF!,'App. 3 (Comm)'!$A56,#REF!,"Asia Pacific Vaccine Access Facility",#REF!,"Special Fund")</f>
        <v>#REF!</v>
      </c>
      <c r="E56" s="10" t="e">
        <f>SUMIFS(#REF!,#REF!,"2022",#REF!,'App. 3 (Comm)'!$A56,#REF!,"COVID19 Pandemic Response Option",#REF!,"ADB")+SUMIFS(#REF!,#REF!,"2022",#REF!,'App. 3 (Comm)'!$A56,#REF!,"COVID19 Pandemic Response Option",#REF!,"Special Fund")</f>
        <v>#REF!</v>
      </c>
      <c r="F56" s="10" t="e">
        <f>SUMIFS(#REF!,#REF!,"2022",#REF!,'App. 3 (Comm)'!$A56,#REF!,"ADB")+SUMIFS(#REF!,#REF!,"2022",#REF!,'App. 3 (Comm)'!$A56,#REF!,"Special Fund")+SUMIFS(#REF!,#REF!,"2022",#REF!,'App. 3 (Comm)'!$A56,#REF!,"TFP (LT)",#REF!,"Revolving Programs")+SUMIFS(#REF!,#REF!,"2022",#REF!,'App. 3 (Comm)'!$A56,#REF!,"MFP (LT)",#REF!,"Revolving Programs")+SUMIFS(#REF!,#REF!,"2022",#REF!,'App. 3 (Comm)'!$A56,#REF!,"SCFP (LT)",#REF!,"Revolving Programs")-E56-D56+SUMIFS(#REF!,#REF!,"2022",#REF!,'App. 3 (Comm)'!$A56,#REF!,"TFP (ST)",#REF!,"Revolving Programs")+SUMIFS(#REF!,#REF!,"2022",#REF!,'App. 3 (Comm)'!$A56,#REF!,"MFP (ST)",#REF!,"Revolving Programs")+SUMIFS(#REF!,#REF!,"2022",#REF!,'App. 3 (Comm)'!$A56,#REF!,"SCFP (ST)",#REF!,"Revolving Programs")</f>
        <v>#REF!</v>
      </c>
      <c r="G56" s="10" t="e">
        <f>SUMIFS(#REF!,#REF!,"2022",#REF!,'App. 3 (Comm)'!$A56,#REF!,"ADB")+SUMIFS(#REF!,#REF!,"2022",#REF!,'App. 3 (Comm)'!$A56,#REF!,"Special Fund")+SUMIFS(#REF!,#REF!,"2022",#REF!,'App. 3 (Comm)'!$A56,#REF!,"TFP (LT)",#REF!,"Revolving Programs")+SUMIFS(#REF!,#REF!,"2022",#REF!,'App. 3 (Comm)'!$A56,#REF!,"MFP (LT)",#REF!,"Revolving Programs")+SUMIFS(#REF!,#REF!,"2022",#REF!,'App. 3 (Comm)'!$A56,#REF!,"SCFP (LT)",#REF!,"Revolving Programs")+SUMIFS(#REF!,#REF!,"2022",#REF!,'App. 3 (Comm)'!$A56,#REF!,"TFP (ST)",#REF!,"Revolving Programs")+SUMIFS(#REF!,#REF!,"2022",#REF!,'App. 3 (Comm)'!$A56,#REF!,"MFP (ST)",#REF!,"Revolving Programs")+SUMIFS(#REF!,#REF!,"2022",#REF!,'App. 3 (Comm)'!$A56,#REF!,"SCFP (ST)",#REF!,"Revolving Programs")</f>
        <v>#REF!</v>
      </c>
      <c r="H56" s="11" t="e">
        <f t="shared" si="0"/>
        <v>#REF!</v>
      </c>
      <c r="I56" s="11" t="e">
        <f>SUMIFS(#REF!,#REF!,"2022",#REF!,'App. 3 (Comm)'!$A56,#REF!,"Asia Pacific Vaccine Access Facility")-D56</f>
        <v>#REF!</v>
      </c>
      <c r="J56" s="11" t="e">
        <f>SUMIFS(#REF!,#REF!,"2022",#REF!,'App. 3 (Comm)'!$A56,#REF!,"COVID19 Pandemic Response Option")-E56</f>
        <v>#REF!</v>
      </c>
      <c r="K56" s="10" t="e">
        <f>SUMIFS(#REF!,#REF!,"2022",#REF!,'App. 3 (Comm)'!$A56)-J56-I56-E56-D56-F56-SUMIFS(#REF!,#REF!,"MFF-ADB",#REF!,"2022",#REF!,'App. 3 (Comm)'!$A56)</f>
        <v>#REF!</v>
      </c>
      <c r="L56" s="10" t="e">
        <f>SUMIFS(#REF!,#REF!,"2022",#REF!,'App. 3 (Comm)'!$A56)-G56-SUMIFS(#REF!,#REF!,"MFF-ADB",#REF!,"2022",#REF!,'App. 3 (Comm)'!$A56)-SUMIFS(#REF!,#REF!,"MFF-Official",#REF!,"2022",#REF!,'App. 3 (Comm)'!$A56)</f>
        <v>#REF!</v>
      </c>
      <c r="M56" s="10" t="e">
        <f t="shared" si="2"/>
        <v>#REF!</v>
      </c>
      <c r="N56" s="10" t="e">
        <f t="shared" si="1"/>
        <v>#REF!</v>
      </c>
    </row>
    <row r="57" spans="1:14">
      <c r="A57" s="3" t="s">
        <v>226</v>
      </c>
      <c r="C57" s="15" t="s">
        <v>55</v>
      </c>
      <c r="D57" s="10" t="e">
        <f>SUMIFS(#REF!,#REF!,"2022",#REF!,'App. 3 (Comm)'!$A57,#REF!,"Asia Pacific Vaccine Access Facility",#REF!,"ADB")+SUMIFS(#REF!,#REF!,"2022",#REF!,'App. 3 (Comm)'!$A57,#REF!,"Asia Pacific Vaccine Access Facility",#REF!,"Special Fund")</f>
        <v>#REF!</v>
      </c>
      <c r="E57" s="10" t="e">
        <f>SUMIFS(#REF!,#REF!,"2022",#REF!,'App. 3 (Comm)'!$A57,#REF!,"COVID19 Pandemic Response Option",#REF!,"ADB")+SUMIFS(#REF!,#REF!,"2022",#REF!,'App. 3 (Comm)'!$A57,#REF!,"COVID19 Pandemic Response Option",#REF!,"Special Fund")</f>
        <v>#REF!</v>
      </c>
      <c r="F57" s="10" t="e">
        <f>SUMIFS(#REF!,#REF!,"2022",#REF!,'App. 3 (Comm)'!$A57,#REF!,"ADB")+SUMIFS(#REF!,#REF!,"2022",#REF!,'App. 3 (Comm)'!$A57,#REF!,"Special Fund")+SUMIFS(#REF!,#REF!,"2022",#REF!,'App. 3 (Comm)'!$A57,#REF!,"TFP (LT)",#REF!,"Revolving Programs")+SUMIFS(#REF!,#REF!,"2022",#REF!,'App. 3 (Comm)'!$A57,#REF!,"MFP (LT)",#REF!,"Revolving Programs")+SUMIFS(#REF!,#REF!,"2022",#REF!,'App. 3 (Comm)'!$A57,#REF!,"SCFP (LT)",#REF!,"Revolving Programs")-E57-D57+SUMIFS(#REF!,#REF!,"2022",#REF!,'App. 3 (Comm)'!$A57,#REF!,"TFP (ST)",#REF!,"Revolving Programs")+SUMIFS(#REF!,#REF!,"2022",#REF!,'App. 3 (Comm)'!$A57,#REF!,"MFP (ST)",#REF!,"Revolving Programs")+SUMIFS(#REF!,#REF!,"2022",#REF!,'App. 3 (Comm)'!$A57,#REF!,"SCFP (ST)",#REF!,"Revolving Programs")</f>
        <v>#REF!</v>
      </c>
      <c r="G57" s="10" t="e">
        <f>SUMIFS(#REF!,#REF!,"2022",#REF!,'App. 3 (Comm)'!$A57,#REF!,"ADB")+SUMIFS(#REF!,#REF!,"2022",#REF!,'App. 3 (Comm)'!$A57,#REF!,"Special Fund")+SUMIFS(#REF!,#REF!,"2022",#REF!,'App. 3 (Comm)'!$A57,#REF!,"TFP (LT)",#REF!,"Revolving Programs")+SUMIFS(#REF!,#REF!,"2022",#REF!,'App. 3 (Comm)'!$A57,#REF!,"MFP (LT)",#REF!,"Revolving Programs")+SUMIFS(#REF!,#REF!,"2022",#REF!,'App. 3 (Comm)'!$A57,#REF!,"SCFP (LT)",#REF!,"Revolving Programs")+SUMIFS(#REF!,#REF!,"2022",#REF!,'App. 3 (Comm)'!$A57,#REF!,"TFP (ST)",#REF!,"Revolving Programs")+SUMIFS(#REF!,#REF!,"2022",#REF!,'App. 3 (Comm)'!$A57,#REF!,"MFP (ST)",#REF!,"Revolving Programs")+SUMIFS(#REF!,#REF!,"2022",#REF!,'App. 3 (Comm)'!$A57,#REF!,"SCFP (ST)",#REF!,"Revolving Programs")</f>
        <v>#REF!</v>
      </c>
      <c r="H57" s="11" t="e">
        <f t="shared" si="0"/>
        <v>#REF!</v>
      </c>
      <c r="I57" s="11" t="e">
        <f>SUMIFS(#REF!,#REF!,"2022",#REF!,'App. 3 (Comm)'!$A57,#REF!,"Asia Pacific Vaccine Access Facility")-D57</f>
        <v>#REF!</v>
      </c>
      <c r="J57" s="11" t="e">
        <f>SUMIFS(#REF!,#REF!,"2022",#REF!,'App. 3 (Comm)'!$A57,#REF!,"COVID19 Pandemic Response Option")-E57</f>
        <v>#REF!</v>
      </c>
      <c r="K57" s="10" t="e">
        <f>SUMIFS(#REF!,#REF!,"2022",#REF!,'App. 3 (Comm)'!$A57)-J57-I57-E57-D57-F57-SUMIFS(#REF!,#REF!,"MFF-ADB",#REF!,"2022",#REF!,'App. 3 (Comm)'!$A57)</f>
        <v>#REF!</v>
      </c>
      <c r="L57" s="10" t="e">
        <f>SUMIFS(#REF!,#REF!,"2022",#REF!,'App. 3 (Comm)'!$A57)-G57-SUMIFS(#REF!,#REF!,"MFF-ADB",#REF!,"2022",#REF!,'App. 3 (Comm)'!$A57)-SUMIFS(#REF!,#REF!,"MFF-Official",#REF!,"2022",#REF!,'App. 3 (Comm)'!$A57)</f>
        <v>#REF!</v>
      </c>
      <c r="M57" s="10" t="e">
        <f t="shared" si="2"/>
        <v>#REF!</v>
      </c>
      <c r="N57" s="10" t="e">
        <f t="shared" si="1"/>
        <v>#REF!</v>
      </c>
    </row>
    <row r="58" spans="1:14" ht="15">
      <c r="C58" s="6" t="s">
        <v>156</v>
      </c>
      <c r="D58" s="17" t="e">
        <f>SUM(D59)</f>
        <v>#REF!</v>
      </c>
      <c r="E58" s="17" t="e">
        <f t="shared" ref="E58:L58" si="4">SUM(E59)</f>
        <v>#REF!</v>
      </c>
      <c r="F58" s="17" t="e">
        <f t="shared" si="4"/>
        <v>#REF!</v>
      </c>
      <c r="G58" s="17" t="e">
        <f t="shared" si="4"/>
        <v>#REF!</v>
      </c>
      <c r="H58" s="7" t="e">
        <f>SUM(D58:G58)</f>
        <v>#REF!</v>
      </c>
      <c r="I58" s="17" t="e">
        <f t="shared" si="4"/>
        <v>#REF!</v>
      </c>
      <c r="J58" s="17" t="e">
        <f t="shared" si="4"/>
        <v>#REF!</v>
      </c>
      <c r="K58" s="17" t="e">
        <f t="shared" si="4"/>
        <v>#REF!</v>
      </c>
      <c r="L58" s="17" t="e">
        <f t="shared" si="4"/>
        <v>#REF!</v>
      </c>
      <c r="M58" s="17" t="e">
        <f>SUM(I58:L58)</f>
        <v>#REF!</v>
      </c>
      <c r="N58" s="17" t="e">
        <f t="shared" si="1"/>
        <v>#REF!</v>
      </c>
    </row>
    <row r="59" spans="1:14" hidden="1">
      <c r="A59" s="3" t="s">
        <v>227</v>
      </c>
      <c r="C59" s="15" t="s">
        <v>156</v>
      </c>
      <c r="D59" s="10" t="e">
        <f>SUMIFS(#REF!,#REF!,"2022",#REF!,'App. 3 (Comm)'!$A59,#REF!,"Asia Pacific Vaccine Access Facility",#REF!,"ADB")+SUMIFS(#REF!,#REF!,"2022",#REF!,'App. 3 (Comm)'!$A59,#REF!,"Asia Pacific Vaccine Access Facility",#REF!,"Special Fund")</f>
        <v>#REF!</v>
      </c>
      <c r="E59" s="10" t="e">
        <f>SUMIFS(#REF!,#REF!,"2022",#REF!,'App. 3 (Comm)'!$A59,#REF!,"COVID19 Pandemic Response Option",#REF!,"ADB")+SUMIFS(#REF!,#REF!,"2022",#REF!,'App. 3 (Comm)'!$A59,#REF!,"COVID19 Pandemic Response Option",#REF!,"Special Fund")</f>
        <v>#REF!</v>
      </c>
      <c r="F59" s="10" t="e">
        <f>SUMIFS(#REF!,#REF!,"2022",#REF!,'App. 3 (Comm)'!$A59,#REF!,"ADB")+SUMIFS(#REF!,#REF!,"2022",#REF!,'App. 3 (Comm)'!$A59,#REF!,"Special Fund")+SUMIFS(#REF!,#REF!,"2022",#REF!,'App. 3 (Comm)'!$A59,#REF!,"TFP (LT)",#REF!,"Revolving Programs")+SUMIFS(#REF!,#REF!,"2022",#REF!,'App. 3 (Comm)'!$A59,#REF!,"MFP (LT)",#REF!,"Revolving Programs")+SUMIFS(#REF!,#REF!,"2022",#REF!,'App. 3 (Comm)'!$A59,#REF!,"SCFP (LT)",#REF!,"Revolving Programs")-E59-D59+SUMIFS(#REF!,#REF!,"2022",#REF!,'App. 3 (Comm)'!$A59,#REF!,"TFP (ST)",#REF!,"Revolving Programs")+SUMIFS(#REF!,#REF!,"2022",#REF!,'App. 3 (Comm)'!$A59,#REF!,"MFP (ST)",#REF!,"Revolving Programs")+SUMIFS(#REF!,#REF!,"2022",#REF!,'App. 3 (Comm)'!$A59,#REF!,"SCFP (ST)",#REF!,"Revolving Programs")</f>
        <v>#REF!</v>
      </c>
      <c r="G59" s="10" t="e">
        <f>SUMIFS(#REF!,#REF!,"2022",#REF!,'App. 3 (Comm)'!$A59,#REF!,"ADB")+SUMIFS(#REF!,#REF!,"2022",#REF!,'App. 3 (Comm)'!$A59,#REF!,"Special Fund")+SUMIFS(#REF!,#REF!,"2022",#REF!,'App. 3 (Comm)'!$A59,#REF!,"TFP (LT)",#REF!,"Revolving Programs")+SUMIFS(#REF!,#REF!,"2022",#REF!,'App. 3 (Comm)'!$A59,#REF!,"MFP (LT)",#REF!,"Revolving Programs")+SUMIFS(#REF!,#REF!,"2022",#REF!,'App. 3 (Comm)'!$A59,#REF!,"SCFP (LT)",#REF!,"Revolving Programs")+SUMIFS(#REF!,#REF!,"2022",#REF!,'App. 3 (Comm)'!$A59,#REF!,"TFP (ST)",#REF!,"Revolving Programs")+SUMIFS(#REF!,#REF!,"2022",#REF!,'App. 3 (Comm)'!$A59,#REF!,"MFP (ST)",#REF!,"Revolving Programs")+SUMIFS(#REF!,#REF!,"2022",#REF!,'App. 3 (Comm)'!$A59,#REF!,"SCFP (ST)",#REF!,"Revolving Programs")</f>
        <v>#REF!</v>
      </c>
      <c r="H59" s="11" t="e">
        <f t="shared" si="0"/>
        <v>#REF!</v>
      </c>
      <c r="I59" s="11" t="e">
        <f>SUMIFS(#REF!,#REF!,"2022",#REF!,'App. 3 (Comm)'!$A59,#REF!,"Asia Pacific Vaccine Access Facility")-D59</f>
        <v>#REF!</v>
      </c>
      <c r="J59" s="11" t="e">
        <f>SUMIFS(#REF!,#REF!,"2022",#REF!,'App. 3 (Comm)'!$A59,#REF!,"COVID19 Pandemic Response Option")-E59</f>
        <v>#REF!</v>
      </c>
      <c r="K59" s="10" t="e">
        <f>SUMIFS(#REF!,#REF!,"2022",#REF!,'App. 3 (Comm)'!$A59)-J59-I59-E59-D59-F59-SUMIFS(#REF!,#REF!,"MFF-ADB",#REF!,"2022",#REF!,'App. 3 (Comm)'!$A59)</f>
        <v>#REF!</v>
      </c>
      <c r="L59" s="10" t="e">
        <f>SUMIFS(#REF!,#REF!,"2022",#REF!,'App. 3 (Comm)'!$A59)-G59-SUMIFS(#REF!,#REF!,"MFF-ADB",#REF!,"2022",#REF!,'App. 3 (Comm)'!$A59)-SUMIFS(#REF!,#REF!,"MFF-Official",#REF!,"2022",#REF!,'App. 3 (Comm)'!$A59)</f>
        <v>#REF!</v>
      </c>
      <c r="M59" s="10" t="e">
        <f t="shared" si="2"/>
        <v>#REF!</v>
      </c>
      <c r="N59" s="10" t="e">
        <f t="shared" si="1"/>
        <v>#REF!</v>
      </c>
    </row>
    <row r="60" spans="1:14" ht="15">
      <c r="C60" s="19" t="s">
        <v>228</v>
      </c>
      <c r="D60" s="20" t="e">
        <f>D7+D18+D25+D31+D46+D58</f>
        <v>#REF!</v>
      </c>
      <c r="E60" s="20" t="e">
        <f>E7+E18+E25+E31+E46+E58</f>
        <v>#REF!</v>
      </c>
      <c r="F60" s="20" t="e">
        <f>F7+F18+F25+F31+F46+F58</f>
        <v>#REF!</v>
      </c>
      <c r="G60" s="20" t="e">
        <f>G7+G18+G25+G31+G46+G58</f>
        <v>#REF!</v>
      </c>
      <c r="H60" s="20" t="e">
        <f t="shared" si="0"/>
        <v>#REF!</v>
      </c>
      <c r="I60" s="20" t="e">
        <f>I7+I18+I25+I31+I46+I58</f>
        <v>#REF!</v>
      </c>
      <c r="J60" s="20" t="e">
        <f>J7+J18+J25+J31+J46+J58</f>
        <v>#REF!</v>
      </c>
      <c r="K60" s="20" t="e">
        <f>K7+K18+K25+K31+K46+K58</f>
        <v>#REF!</v>
      </c>
      <c r="L60" s="20" t="e">
        <f>L7+L18+L25+L31+L46+L58</f>
        <v>#REF!</v>
      </c>
      <c r="M60" s="20" t="e">
        <f t="shared" si="2"/>
        <v>#REF!</v>
      </c>
      <c r="N60" s="20" t="e">
        <f>M60+H60</f>
        <v>#REF!</v>
      </c>
    </row>
    <row r="63" spans="1:14">
      <c r="K63" s="18"/>
      <c r="L63" s="18"/>
      <c r="M63" s="18"/>
    </row>
  </sheetData>
  <mergeCells count="16">
    <mergeCell ref="N2:N6"/>
    <mergeCell ref="C2:C6"/>
    <mergeCell ref="D2:H2"/>
    <mergeCell ref="I2:M2"/>
    <mergeCell ref="I5:I6"/>
    <mergeCell ref="J5:J6"/>
    <mergeCell ref="I3:K4"/>
    <mergeCell ref="L3:L6"/>
    <mergeCell ref="M3:M6"/>
    <mergeCell ref="K5:K6"/>
    <mergeCell ref="F5:F6"/>
    <mergeCell ref="D3:F4"/>
    <mergeCell ref="H3:H6"/>
    <mergeCell ref="G3:G6"/>
    <mergeCell ref="D5:D6"/>
    <mergeCell ref="E5:E6"/>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ignoredErrors>
    <ignoredError sqref="H7:M7 H18:M18 H8 M8 H17 M9:M17 H25:M25 H24 M19:M24 H31:M31 H30 M26:M30 H46:M46 H45 M32:M45 H58:M58 H57 M47:M57 H60:M60 H59 M59 H9 H10 H11 H12 H13 H14 H15 H16 H19 H20 H21 H22 H23 H26 H27 H28 H29 H32 H33 H34 H35 H36 H37 H38 H39 H40 H41 H42 H43 H44 H47 H48 H49 H50 H51 H52 H53 H54 H55 H5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7" ma:contentTypeDescription="Create a new document." ma:contentTypeScope="" ma:versionID="8fca9bb42993a98b8176a0059fabf9b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bca51a6c5cebc9ae9aa904eb02b23f1b"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29762-EBD1-4942-8A75-A7BAAEF41F1A}"/>
</file>

<file path=customXml/itemProps2.xml><?xml version="1.0" encoding="utf-8"?>
<ds:datastoreItem xmlns:ds="http://schemas.openxmlformats.org/officeDocument/2006/customXml" ds:itemID="{32B33181-A203-44AC-B235-67F736BE7C9B}"/>
</file>

<file path=docProps/app.xml><?xml version="1.0" encoding="utf-8"?>
<Properties xmlns="http://schemas.openxmlformats.org/officeDocument/2006/extended-properties" xmlns:vt="http://schemas.openxmlformats.org/officeDocument/2006/docPropsVTypes">
  <Application>Microsoft Excel Online</Application>
  <Manager/>
  <Company>Asian Development Bank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2014-11-04T01:54:06Z</dcterms:created>
  <dcterms:modified xsi:type="dcterms:W3CDTF">2023-05-16T00:46:11Z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2021-11-22T08:28:16Z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acac1ec6-df09-4260-9306-9a459bc2a6a4</vt:lpwstr>
  </property>
  <property fmtid="{D5CDD505-2E9C-101B-9397-08002B2CF9AE}" pid="8" name="MSIP_Label_817d4574-7375-4d17-b29c-6e4c6df0fcb0_ContentBits">
    <vt:lpwstr>2</vt:lpwstr>
  </property>
</Properties>
</file>