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862ADF1C-A612-45D2-9219-9D3FAE8FB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ts" sheetId="3" r:id="rId1"/>
  </sheets>
  <definedNames>
    <definedName name="_xlnm.Print_Titles" localSheetId="0">Grants!$9:$10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3" i="3" l="1"/>
  <c r="F242" i="3"/>
  <c r="F244" i="3" s="1"/>
  <c r="F238" i="3"/>
  <c r="F239" i="3" s="1"/>
  <c r="D234" i="3"/>
  <c r="D233" i="3"/>
  <c r="D232" i="3"/>
  <c r="F231" i="3"/>
  <c r="F235" i="3" s="1"/>
  <c r="D227" i="3"/>
  <c r="D226" i="3"/>
  <c r="D225" i="3"/>
  <c r="D221" i="3"/>
  <c r="D220" i="3"/>
  <c r="D219" i="3"/>
  <c r="D218" i="3"/>
  <c r="D217" i="3"/>
  <c r="F216" i="3"/>
  <c r="F215" i="3"/>
  <c r="F214" i="3"/>
  <c r="D213" i="3"/>
  <c r="F209" i="3"/>
  <c r="F208" i="3"/>
  <c r="D204" i="3"/>
  <c r="D205" i="3" s="1"/>
  <c r="D200" i="3"/>
  <c r="D201" i="3" s="1"/>
  <c r="D195" i="3"/>
  <c r="D194" i="3"/>
  <c r="D191" i="3"/>
  <c r="D192" i="3" s="1"/>
  <c r="D187" i="3"/>
  <c r="D186" i="3"/>
  <c r="D185" i="3"/>
  <c r="D184" i="3"/>
  <c r="D183" i="3"/>
  <c r="D182" i="3"/>
  <c r="D181" i="3"/>
  <c r="D180" i="3"/>
  <c r="D179" i="3"/>
  <c r="F178" i="3"/>
  <c r="F188" i="3" s="1"/>
  <c r="F149" i="3" s="1"/>
  <c r="D177" i="3"/>
  <c r="D176" i="3"/>
  <c r="D175" i="3"/>
  <c r="D174" i="3"/>
  <c r="D170" i="3"/>
  <c r="D171" i="3" s="1"/>
  <c r="D166" i="3"/>
  <c r="D165" i="3"/>
  <c r="D164" i="3"/>
  <c r="D163" i="3"/>
  <c r="D162" i="3"/>
  <c r="D161" i="3"/>
  <c r="D160" i="3"/>
  <c r="D156" i="3"/>
  <c r="D157" i="3" s="1"/>
  <c r="D152" i="3"/>
  <c r="D151" i="3"/>
  <c r="D146" i="3"/>
  <c r="D147" i="3" s="1"/>
  <c r="D142" i="3"/>
  <c r="D143" i="3" s="1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6" i="3"/>
  <c r="D115" i="3"/>
  <c r="D117" i="3" s="1"/>
  <c r="D111" i="3"/>
  <c r="D110" i="3"/>
  <c r="D109" i="3"/>
  <c r="F108" i="3"/>
  <c r="F107" i="3"/>
  <c r="D106" i="3"/>
  <c r="D105" i="3"/>
  <c r="D104" i="3"/>
  <c r="D103" i="3"/>
  <c r="F102" i="3"/>
  <c r="D101" i="3"/>
  <c r="F100" i="3"/>
  <c r="D99" i="3"/>
  <c r="F98" i="3"/>
  <c r="F97" i="3"/>
  <c r="F96" i="3"/>
  <c r="F95" i="3"/>
  <c r="F94" i="3"/>
  <c r="D93" i="3"/>
  <c r="D92" i="3"/>
  <c r="D88" i="3"/>
  <c r="D87" i="3"/>
  <c r="D86" i="3"/>
  <c r="D85" i="3"/>
  <c r="F84" i="3"/>
  <c r="F83" i="3"/>
  <c r="D79" i="3"/>
  <c r="D78" i="3"/>
  <c r="D80" i="3" s="1"/>
  <c r="D74" i="3"/>
  <c r="D73" i="3"/>
  <c r="D72" i="3"/>
  <c r="D71" i="3"/>
  <c r="D70" i="3"/>
  <c r="D66" i="3"/>
  <c r="D67" i="3" s="1"/>
  <c r="D61" i="3"/>
  <c r="D62" i="3" s="1"/>
  <c r="F57" i="3"/>
  <c r="F58" i="3" s="1"/>
  <c r="D56" i="3"/>
  <c r="D58" i="3" s="1"/>
  <c r="F52" i="3"/>
  <c r="F51" i="3"/>
  <c r="F50" i="3"/>
  <c r="F49" i="3"/>
  <c r="F45" i="3"/>
  <c r="F46" i="3" s="1"/>
  <c r="D41" i="3"/>
  <c r="D40" i="3"/>
  <c r="D42" i="3" s="1"/>
  <c r="F36" i="3"/>
  <c r="F37" i="3" s="1"/>
  <c r="D32" i="3"/>
  <c r="D31" i="3"/>
  <c r="D27" i="3"/>
  <c r="D28" i="3" s="1"/>
  <c r="E24" i="3"/>
  <c r="D23" i="3"/>
  <c r="D22" i="3"/>
  <c r="D21" i="3"/>
  <c r="F20" i="3"/>
  <c r="F19" i="3"/>
  <c r="F18" i="3"/>
  <c r="F17" i="3"/>
  <c r="D16" i="3"/>
  <c r="D15" i="3"/>
  <c r="D14" i="3"/>
  <c r="F13" i="3"/>
  <c r="D33" i="3" l="1"/>
  <c r="D75" i="3"/>
  <c r="F112" i="3"/>
  <c r="D153" i="3"/>
  <c r="D24" i="3"/>
  <c r="D11" i="3" s="1"/>
  <c r="D188" i="3"/>
  <c r="D222" i="3"/>
  <c r="F24" i="3"/>
  <c r="F11" i="3" s="1"/>
  <c r="F53" i="3"/>
  <c r="F222" i="3"/>
  <c r="D228" i="3"/>
  <c r="D235" i="3"/>
  <c r="D196" i="3"/>
  <c r="F210" i="3"/>
  <c r="F198" i="3" s="1"/>
  <c r="D167" i="3"/>
  <c r="D149" i="3" s="1"/>
  <c r="F89" i="3"/>
  <c r="F64" i="3" s="1"/>
  <c r="D139" i="3"/>
  <c r="D89" i="3"/>
  <c r="D112" i="3"/>
  <c r="D198" i="3" l="1"/>
  <c r="D64" i="3"/>
</calcChain>
</file>

<file path=xl/sharedStrings.xml><?xml version="1.0" encoding="utf-8"?>
<sst xmlns="http://schemas.openxmlformats.org/spreadsheetml/2006/main" count="350" uniqueCount="190">
  <si>
    <t>Project Name</t>
  </si>
  <si>
    <t>New Zealand</t>
  </si>
  <si>
    <t>Australia</t>
  </si>
  <si>
    <t>Bangladesh</t>
  </si>
  <si>
    <t>India</t>
  </si>
  <si>
    <t>Nepal</t>
  </si>
  <si>
    <t>Cambodia</t>
  </si>
  <si>
    <t>Indonesia</t>
  </si>
  <si>
    <t>Philippines</t>
  </si>
  <si>
    <t>TOTAL</t>
  </si>
  <si>
    <t>Pakistan</t>
  </si>
  <si>
    <t>Global Environment Facility</t>
  </si>
  <si>
    <t>Regional</t>
  </si>
  <si>
    <t>Source of Cofinancing</t>
  </si>
  <si>
    <t>Technical Assistance</t>
  </si>
  <si>
    <t>Project Component</t>
  </si>
  <si>
    <t>World Bank</t>
  </si>
  <si>
    <t xml:space="preserve">Amount </t>
  </si>
  <si>
    <t>Mongolia</t>
  </si>
  <si>
    <t>Netherlands Trust Fund under the Water Financing Partnership Facility</t>
  </si>
  <si>
    <t>United States</t>
  </si>
  <si>
    <t>($’000)</t>
  </si>
  <si>
    <t>Subtotal</t>
  </si>
  <si>
    <t>Uzbekistan</t>
  </si>
  <si>
    <t>Sri Lanka</t>
  </si>
  <si>
    <t>Papua New Guinea</t>
  </si>
  <si>
    <t>Korea, Republic of</t>
  </si>
  <si>
    <t>People’s Republic of China Poverty Reduction and Regional Cooperation Fund</t>
  </si>
  <si>
    <t>Republic of Korea e-Asia and Knowledge Partnership Fund</t>
  </si>
  <si>
    <t>BILATERALS, Project Specific</t>
  </si>
  <si>
    <t>Austria</t>
  </si>
  <si>
    <t>Bhutan</t>
  </si>
  <si>
    <t>Palau</t>
  </si>
  <si>
    <t>Armenia</t>
  </si>
  <si>
    <t>Water Financing Partnership Facility (Multi-Donor Trust Fund)</t>
  </si>
  <si>
    <t>Canada</t>
  </si>
  <si>
    <t>COVID-19 Response for Affected Poor and Vulnerable Groups</t>
  </si>
  <si>
    <t>Accelerating Innovation in Transport (Supplementary)</t>
  </si>
  <si>
    <t>Strategic Climate Fund</t>
  </si>
  <si>
    <t>Agricultural Value Chain Infrastructure Improvement 
   (Supplementary)</t>
  </si>
  <si>
    <t>Accelerating the Clean Energy Transition in Southeast Asia 
   (Supplementary)</t>
  </si>
  <si>
    <t>Implementing the Cities Development Initiative for Asia 
   (Supplementary)</t>
  </si>
  <si>
    <t>Strengthening Capacity to Design and Implement Water 
   and Rural Infrastructure Facility (Supplementary)</t>
  </si>
  <si>
    <t>Preparing Urban Development and Improvement Projects 
   (Supplementary)</t>
  </si>
  <si>
    <t>China, People’s 
   Republic of</t>
  </si>
  <si>
    <t>Solomon Islands</t>
  </si>
  <si>
    <t>Viet Nam</t>
  </si>
  <si>
    <t>Note: Numbers may not sum precisely because of rounding.</t>
  </si>
  <si>
    <t>Timor-Leste</t>
  </si>
  <si>
    <t>Projects Involving Sovereign Grant Cofinancing, 2022</t>
  </si>
  <si>
    <t>Fiji</t>
  </si>
  <si>
    <t>Sustainable and Resilient Recovery Program</t>
  </si>
  <si>
    <t>Power Sector Development</t>
  </si>
  <si>
    <t>Samoa</t>
  </si>
  <si>
    <t>Thailand</t>
  </si>
  <si>
    <t>Strengthening the Bio-Circular-Green Economy</t>
  </si>
  <si>
    <t>Finland</t>
  </si>
  <si>
    <t>Supporting the School Education Sector Plan</t>
  </si>
  <si>
    <t>Netherlands</t>
  </si>
  <si>
    <t>Norway</t>
  </si>
  <si>
    <t>TRUST FUNDS, Single Partner</t>
  </si>
  <si>
    <t>Smart and Livable Cities in Southeast Asia</t>
  </si>
  <si>
    <t>Preparing Road Modernization Projects (Supplementary)</t>
  </si>
  <si>
    <t>Vanuatu</t>
  </si>
  <si>
    <t>Southeast Asia Facility for Resilient Cities (Supplementary)</t>
  </si>
  <si>
    <t>Japan Fund for Prosperous and Resilient Asia and the Pacific</t>
  </si>
  <si>
    <t>Updating the Revised Strategic Transport Plan for Dhaka</t>
  </si>
  <si>
    <t>Water Flagship Program Support</t>
  </si>
  <si>
    <t>Community-Based Tourism COVID-19 Recovery</t>
  </si>
  <si>
    <t>Enhancing COVID-19 Preparedness for Tourism Recovery</t>
  </si>
  <si>
    <t xml:space="preserve">Capacity Building for Food Safety and Traceability </t>
  </si>
  <si>
    <t>Renewable Heating Demonstration in Remote Areas</t>
  </si>
  <si>
    <t>Sustainable Tourism Development (Phase 2)</t>
  </si>
  <si>
    <t>Supporting Building Up Universal Health Care Program</t>
  </si>
  <si>
    <t>Food Security and Livelihood Recovery Emergency Assistance</t>
  </si>
  <si>
    <t>Japan Fund for the Joint Crediting Mechanism</t>
  </si>
  <si>
    <t>Disaster Resilient Clean Energy Financing (Supplementary)</t>
  </si>
  <si>
    <t>Georgia</t>
  </si>
  <si>
    <t>Support to Health Sector Enhancement Program</t>
  </si>
  <si>
    <t>Capacity Development in Emerging Technologies</t>
  </si>
  <si>
    <t>Kazakhstan</t>
  </si>
  <si>
    <t>Strengthening Institutional Capacity for Fiscal Management</t>
  </si>
  <si>
    <t>Strengthening Vocational High Schools in South Asia</t>
  </si>
  <si>
    <t>Supporting Climate Action in Finance Sector Operations</t>
  </si>
  <si>
    <t>TRUST FUNDS, Multi-Partner</t>
  </si>
  <si>
    <t>Asia Pacific Climate Finance Fund</t>
  </si>
  <si>
    <t>Clean Energy Fund under the Clean Energy Financing Partnership Facility</t>
  </si>
  <si>
    <t>High Level Technology Fund</t>
  </si>
  <si>
    <t>Deploying Solar Systems at Scale (Supplementary)</t>
  </si>
  <si>
    <t>Southeast Asia Facility for Resilient Cities</t>
  </si>
  <si>
    <t>Clean Technology Fund</t>
  </si>
  <si>
    <t>European Union</t>
  </si>
  <si>
    <t>Global Agriculture and Food Security Program</t>
  </si>
  <si>
    <t>Nuts and Fruits in Hilly Areas</t>
  </si>
  <si>
    <t>Kiribati</t>
  </si>
  <si>
    <t xml:space="preserve">Promoting Climate-Resilient and Sustainable Blue Economies
</t>
  </si>
  <si>
    <t>Green Climate Fund</t>
  </si>
  <si>
    <t>Supporting the Energy Transition Sector Development Program</t>
  </si>
  <si>
    <t>State-Owned Enterprises Reform Program—Subprogram 3</t>
  </si>
  <si>
    <t>Greater Port Vila Urban Resilience Project—Additional Financing</t>
  </si>
  <si>
    <t>South Tarawa Water Supply—Additional Financing</t>
  </si>
  <si>
    <t xml:space="preserve">United Nations Children’s Fund </t>
  </si>
  <si>
    <t>Sustainable Development Goals Indonesia One—Green Finance 
   Facility (Phase 1)</t>
  </si>
  <si>
    <t>Sustainable Infrastructure Assistance Program Phase II—
   Innovative Infrastructure Financing, Infrastructure Planning, 
   and Program Management Support (Subproject 1) 
   (Supplementary)</t>
  </si>
  <si>
    <t>Sustainable Infrastructure Assistance Program Phase II—
   Supporting Sustainable and Universal Electricity Access 
   Phase 2 (Subproject 3) (Supplementary)</t>
  </si>
  <si>
    <t>Improved Technical and Vocational Education and Training 
   for Employment</t>
  </si>
  <si>
    <t>Strengthening Macroeconomic Resilience Program—
   Subprogram 1</t>
  </si>
  <si>
    <t>Supporting Fiscal and Economic Recovery Program—
   Subprogram 1</t>
  </si>
  <si>
    <t>Public–Private Partnerships, Private Sector Development, 
   and State-Owned Enterprise Reform</t>
  </si>
  <si>
    <t>Promoting Transformative Gender Equality Agenda in Asia 
   and the Pacific (Supplementary)</t>
  </si>
  <si>
    <t xml:space="preserve">Public–Private Partnerships, Private Sector Development, 
   and State-Owned Enterprise Reform </t>
  </si>
  <si>
    <t>Strengthening Cooperation on Disaster Risk Management 
   within the Association of Southeast Asian Nations 
   (Supplementary)</t>
  </si>
  <si>
    <t>Integrated High Impact Innovation in Sustainable Energy 
   Technology—Energy System Analysis, Technology Road Maps 
   and Feasibility Studies for Pilot Testing (Subproject 1) 
   (Supplementary)</t>
  </si>
  <si>
    <t>Strengthening Asia Pacific Public Electronic Procurement 
   Network—Phase 2</t>
  </si>
  <si>
    <t>Flood and Riverbank Erosion Risk Management Investment 
   Program—Tranche 2</t>
  </si>
  <si>
    <t>Enhanced Policy and Program Implementation 
   in School Education</t>
  </si>
  <si>
    <t>Improving Access and Strengthening Innovations for Water, 
   Sanitation, and Hygiene in Selected Central Asia Regional 
   Economic Cooperation Countries and the Caucasus</t>
  </si>
  <si>
    <t>Promoting Innovations in Regional Cooperation and Integration 
   in the Aftermath of COVID-19 (Supplementary)</t>
  </si>
  <si>
    <t>Southeast Asia Agriculture, Natural Resources and Rural 
   Development Facility—Phase II (Supplementary)</t>
  </si>
  <si>
    <t>Accelerating Climate Resilience in Agriculture, Natural Resources 
   and the Environment</t>
  </si>
  <si>
    <t>Pacific Urban Development Investment Project Enhancement 
   and Capacity Development Facility (Supplementary)</t>
  </si>
  <si>
    <t>Building Coastal Resilience through Nature-Based and 
   Integrated Solutions (Supplementary)</t>
  </si>
  <si>
    <t>Strengthening Capacity to Design and Implement Climate Change 
   Projects Facility</t>
  </si>
  <si>
    <t>Institutional Strengthening of Roads and Highways Department 
   on Road Safety and Maintenance</t>
  </si>
  <si>
    <t>Responsive COVID-19 Vaccines for Recovery Project under 
   the Asia Pacific Vaccine Access Facility</t>
  </si>
  <si>
    <t>Integrated Urban Flood Management for the 
   Chennai–Kosasthalaiyar Basin—Additional Financing</t>
  </si>
  <si>
    <t>Strengthening Governance and Institutional Capacity 
   for Quality Infrastructure Investment in Ulaanbaatar</t>
  </si>
  <si>
    <t xml:space="preserve">Strengthening the Capacity of the Government of Punjab 
   to Deliver Quality and Inclusive Technical and Vocational 
   Education and Training </t>
  </si>
  <si>
    <t>Strengthening the Transition of Vulnerable Communities Affected 
   by the South Commuter Railway</t>
  </si>
  <si>
    <t>Regional Support to Address the Outbreak of Coronavirus 
   Disease 2019 and Potential Outbreaks of Other 
   Communicable Diseases (Supplementary)</t>
  </si>
  <si>
    <t>South Asia Subregional Economic Cooperation Green Fuel 
   Development Initiative</t>
  </si>
  <si>
    <t>Strengthening Public Financial Management in Selected 
   Countries of Southeast Asia</t>
  </si>
  <si>
    <t>Strengthening Knowledge and Actions for Air Quality 
   Improvement (Supplementary)</t>
  </si>
  <si>
    <t>Supporting Technical Education and Skills Development 
   Facility (Supplementary)</t>
  </si>
  <si>
    <t xml:space="preserve">Preparing Energy Storage and Green Hydrogen Sector 
   Development Program </t>
  </si>
  <si>
    <t>Promoting Regional Partnerships for Adoption of Fintech 
   and Digital Payments Systems</t>
  </si>
  <si>
    <t>Preparing the Central Asia Regional Economic Cooperation 
   Corridors 3 and 6 Turkistan Road Network Improvement 
   (Supplementary)</t>
  </si>
  <si>
    <t>Better Customs for Better Client Services in Central Asia 
   Regional Economic Cooperation Countries (Supplementary)</t>
  </si>
  <si>
    <t>Central Asia Regional Economic Cooperation and the 
   Caucasus Regional Infrastructure Preparation Facility 
   (Supplementary)</t>
  </si>
  <si>
    <t>Digital Development Facility for Asia and the Pacific 
   (Supplementary)</t>
  </si>
  <si>
    <t>Digital Regulatory Cooperation: Unpacking the Implementation 
   “Black Box”—A Mapping of Regulatory Practices, Degrees 
   of Implementation and Practical Gaps</t>
  </si>
  <si>
    <t>Policy Advice for COVID-19 Economic Recovery in 
   Southeast Asia (Phase 2) (Supplementary)</t>
  </si>
  <si>
    <t>Promoting Digitalization for Green and Inclusive Growth 
   in Asia</t>
  </si>
  <si>
    <t>Support to Balanced and Sustainable Urban Operations 
   in Central and West Asia (Supplementary)</t>
  </si>
  <si>
    <t>Southeast Asia Agriculture, Natural Resources and Rural 
   Development Facility (Supplementary)</t>
  </si>
  <si>
    <t>Implementing Reforms for Growth and Competitiveness 
   (Supplementary)</t>
  </si>
  <si>
    <t>Developing Insurance Markets for Sustainable and Resilient 
   Societies in Asia and the Pacific (Supplementary)</t>
  </si>
  <si>
    <t>Viability Assessment for Potential Wind Power Electricity 
   Generation Projects</t>
  </si>
  <si>
    <t>Research on Addressing Climate Change in Ningxia through 
   the Use of Science and Technology (Supplementary)</t>
  </si>
  <si>
    <t>Maximizing Poverty Alleviation and Gender Co-benefits through 
   Innovative Clean Energy Solutions in Asia and the Pacific</t>
  </si>
  <si>
    <t>Preparing Clean and Renewable Energy Investments in 
   the Pacific (Supplementary)</t>
  </si>
  <si>
    <t>Preparing Floating Solar Plus Projects under the Pacific 
   Renewable Energy Investment Facility (Supplementary)</t>
  </si>
  <si>
    <t>Enabling a Just Transition to Low-Carbon and Climate-Resilient 
   Economies and Societies in Asia and the Pacific</t>
  </si>
  <si>
    <t>Establishing a Digital Museum for Heritage, Livelihoods, 
   and Tourism in Western Mongolia</t>
  </si>
  <si>
    <t>Implementation Support for the Nuts and Fruits in Hilly Areas 
   (Supplementary)</t>
  </si>
  <si>
    <t>Strengthening Social Protection, Education, and Health Reforms 
   Facility (Supplementary)</t>
  </si>
  <si>
    <t>Climate Adaptive Water Resources Management in the Aral Sea 
   Basin Sector</t>
  </si>
  <si>
    <t>Preparing the Science, Technology, Engineering and 
   Mathematics in Secondary Education (Supplementary)</t>
  </si>
  <si>
    <t>Developing Digital Financial Infrastructure and Enhancing 
   Financial Access for Resilience and Recovery in Asia 
   and the Pacific</t>
  </si>
  <si>
    <t>Digital Solutions for Optimizing Port Efficiency in 
   Developing Countries</t>
  </si>
  <si>
    <t>Expanding Connectivity and Affordability to Address 
   the Digital Divide</t>
  </si>
  <si>
    <t>Innovation in Education Sector Development in Asia 
   and the Pacific (Supplementary)</t>
  </si>
  <si>
    <t>Preparing Clean and Renewable Energy Investments 
   in the Pacific (Supplementary)</t>
  </si>
  <si>
    <t>Promoting Action on Plastic Pollution from Source to Sea 
   in Asia and the Pacific—Prioritizing and Implementing Actions 
   to Reduce Marine Plastic Pollution (Subproject 2) 
   (Supplementary)</t>
  </si>
  <si>
    <t>Preparing the Hubei Huanggang Dabie Mountain Ecosystem 
   Protection and Carbon-Neutral Green Development</t>
  </si>
  <si>
    <t>Expanding Development Bank Financing of Micro, Small, 
   and Medium-Sized Enterprises in the Pacific</t>
  </si>
  <si>
    <t>Climate Resilient Rice Commercialization Sector Development 
   Program—Additional Financing</t>
  </si>
  <si>
    <t>Innovating Eco-Compensation Mechanisms in 
   Yangtze River Basin</t>
  </si>
  <si>
    <t>Building Coastal Resilience through Nature-Based 
   and Integrated Solutions (Supplementary)</t>
  </si>
  <si>
    <t>Southeast Asia Agriculture, Natural Resources and 
   Rural Development Facility (Supplementary)</t>
  </si>
  <si>
    <t>Southeast Asia Agriculture, Natural Resources and 
   Rural Development Facility—Phase II (Supplementary)</t>
  </si>
  <si>
    <t>Accelerating Climate Transitions through Green Finance 
   in Southeast Asia</t>
  </si>
  <si>
    <t>Promoting an Interconnected, Inclusive, and Resilient Association 
   of Southeast Asian Nations Capital Market (Supplementary)</t>
  </si>
  <si>
    <r>
      <t>Building Institutional Capacity: Delivering Climate Solutions 
   under Operational Priority 3 of Strategy 2030 
   (Supplementary)</t>
    </r>
    <r>
      <rPr>
        <vertAlign val="superscript"/>
        <sz val="9"/>
        <color theme="1"/>
        <rFont val="Arial"/>
        <family val="2"/>
      </rPr>
      <t>c</t>
    </r>
  </si>
  <si>
    <r>
      <t>Preparing Clean and Renewable Energy Investments in 
   the Pacific (Supplementary)</t>
    </r>
    <r>
      <rPr>
        <vertAlign val="superscript"/>
        <sz val="9"/>
        <color theme="1"/>
        <rFont val="Arial"/>
        <family val="2"/>
      </rPr>
      <t>d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</si>
  <si>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project-specific cofinancing from multilateral organizations, including global funds.</t>
    </r>
  </si>
  <si>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>Under the Pilot Program for Climate Resilience.</t>
    </r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</si>
  <si>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Under the Scaling Up Renewable Energy Program in Low Income Countries.</t>
    </r>
  </si>
  <si>
    <r>
      <rPr>
        <vertAlign val="superscript"/>
        <sz val="8"/>
        <rFont val="Arial"/>
        <family val="2"/>
      </rPr>
      <t xml:space="preserve">d  </t>
    </r>
    <r>
      <rPr>
        <sz val="8"/>
        <rFont val="Arial"/>
        <family val="2"/>
      </rPr>
      <t>Under the Renewable Energy Integration Program.</t>
    </r>
  </si>
  <si>
    <t>France – Cooperation Fund for Project Preparation in the Greater Mekong Subregion    
   and in Other Specific Asian Countries</t>
  </si>
  <si>
    <t xml:space="preserve">Ireland Trust Fund for Building Climate Change and Disaster Resilience 
   in Small Island Developing States </t>
  </si>
  <si>
    <t>Urban Climate Change Resilience Trust Fund under the Urban Financing 
   Partnership Facility</t>
  </si>
  <si>
    <t>Energy Transition Mechanism Partnership Trust Fund under the Clean Energy 
   Financing Partnership Facility</t>
  </si>
  <si>
    <t>Sanitation Financing Partnership Trust Fund under the Water Financing 
   Partnership Facility</t>
  </si>
  <si>
    <t>Cities Development Initiative for Asia Trust Fund under the Urban Financing 
   Partnership Facility</t>
  </si>
  <si>
    <t>ASEAN Australia Smart Cities Trust Fund under the Urban Financing 
   Partnership Facility</t>
  </si>
  <si>
    <r>
      <t>MULTILATERALS</t>
    </r>
    <r>
      <rPr>
        <vertAlign val="superscript"/>
        <sz val="9"/>
        <rFont val="Arial"/>
        <family val="2"/>
      </rPr>
      <t>a</t>
    </r>
  </si>
  <si>
    <r>
      <t>Energy Transition Sector Development Program—Subprogram 1</t>
    </r>
    <r>
      <rPr>
        <vertAlign val="superscript"/>
        <sz val="9"/>
        <color theme="1"/>
        <rFont val="Arial"/>
        <family val="2"/>
      </rPr>
      <t>b</t>
    </r>
  </si>
  <si>
    <t>COVID-19 = coronavirus disease.</t>
  </si>
  <si>
    <r>
      <t>Support to Climate Resilient Investment Pathways in 
   the Pacific (Supplementary)</t>
    </r>
    <r>
      <rPr>
        <vertAlign val="superscript"/>
        <sz val="9"/>
        <color theme="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</si>
</sst>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164" fontId="10" fillId="0" borderId="0" xfId="2" applyFont="1"/>
    <xf numFmtId="4" fontId="6" fillId="0" borderId="0" xfId="1" applyNumberFormat="1" applyFont="1"/>
    <xf numFmtId="4" fontId="6" fillId="0" borderId="0" xfId="0" applyNumberFormat="1" applyFont="1"/>
    <xf numFmtId="0" fontId="13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165" fontId="13" fillId="2" borderId="0" xfId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165" fontId="5" fillId="2" borderId="0" xfId="1" applyFont="1" applyFill="1" applyAlignment="1">
      <alignment vertical="top"/>
    </xf>
    <xf numFmtId="165" fontId="6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vertical="top"/>
    </xf>
    <xf numFmtId="0" fontId="5" fillId="2" borderId="0" xfId="184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165" fontId="5" fillId="2" borderId="0" xfId="1" applyFont="1" applyFill="1" applyBorder="1" applyAlignment="1">
      <alignment vertical="top"/>
    </xf>
    <xf numFmtId="165" fontId="5" fillId="2" borderId="2" xfId="1" applyFont="1" applyFill="1" applyBorder="1" applyAlignment="1">
      <alignment vertical="top"/>
    </xf>
    <xf numFmtId="0" fontId="9" fillId="0" borderId="2" xfId="2" applyNumberFormat="1" applyFont="1" applyBorder="1" applyAlignment="1">
      <alignment horizontal="center" wrapText="1"/>
    </xf>
    <xf numFmtId="0" fontId="15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165" fontId="13" fillId="2" borderId="0" xfId="1" applyFont="1" applyFill="1" applyAlignment="1">
      <alignment vertical="top"/>
    </xf>
    <xf numFmtId="0" fontId="13" fillId="2" borderId="0" xfId="0" applyFont="1" applyFill="1" applyAlignment="1">
      <alignment vertical="top"/>
    </xf>
    <xf numFmtId="165" fontId="13" fillId="2" borderId="2" xfId="1" applyFont="1" applyFill="1" applyBorder="1" applyAlignment="1">
      <alignment vertical="top"/>
    </xf>
    <xf numFmtId="0" fontId="15" fillId="2" borderId="0" xfId="0" applyFont="1" applyFill="1" applyAlignment="1">
      <alignment vertical="top" wrapText="1"/>
    </xf>
    <xf numFmtId="165" fontId="15" fillId="2" borderId="0" xfId="1" applyFont="1" applyFill="1" applyAlignment="1">
      <alignment vertical="top"/>
    </xf>
    <xf numFmtId="0" fontId="13" fillId="2" borderId="0" xfId="0" applyFont="1" applyFill="1" applyAlignment="1">
      <alignment horizontal="left" vertical="top" wrapText="1"/>
    </xf>
    <xf numFmtId="165" fontId="13" fillId="2" borderId="0" xfId="0" applyNumberFormat="1" applyFont="1" applyFill="1" applyAlignment="1">
      <alignment vertical="top"/>
    </xf>
    <xf numFmtId="165" fontId="15" fillId="2" borderId="0" xfId="1" applyFont="1" applyFill="1" applyBorder="1" applyAlignment="1">
      <alignment vertical="top"/>
    </xf>
    <xf numFmtId="165" fontId="15" fillId="2" borderId="0" xfId="0" applyNumberFormat="1" applyFont="1" applyFill="1" applyAlignment="1">
      <alignment vertical="top"/>
    </xf>
    <xf numFmtId="0" fontId="13" fillId="2" borderId="0" xfId="184" applyFont="1" applyFill="1" applyAlignment="1">
      <alignment vertical="top"/>
    </xf>
    <xf numFmtId="0" fontId="13" fillId="2" borderId="0" xfId="184" applyFont="1" applyFill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1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164" fontId="6" fillId="0" borderId="0" xfId="2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164" fontId="9" fillId="0" borderId="1" xfId="2" applyFont="1" applyBorder="1" applyAlignment="1">
      <alignment horizontal="center" wrapText="1"/>
    </xf>
    <xf numFmtId="164" fontId="9" fillId="0" borderId="3" xfId="2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2" applyNumberFormat="1" applyFont="1" applyBorder="1" applyAlignment="1">
      <alignment horizontal="left" wrapText="1"/>
    </xf>
    <xf numFmtId="0" fontId="9" fillId="0" borderId="3" xfId="2" applyNumberFormat="1" applyFont="1" applyBorder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184" applyFont="1" applyFill="1" applyAlignment="1">
      <alignment horizontal="left" vertical="top" wrapText="1"/>
    </xf>
  </cellXfs>
  <cellStyles count="186">
    <cellStyle name="Comma" xfId="1" builtinId="3"/>
    <cellStyle name="Comma 3" xfId="180" xr:uid="{00000000-0005-0000-0000-000001000000}"/>
    <cellStyle name="Comma 5" xfId="183" xr:uid="{00000000-0005-0000-0000-000002000000}"/>
    <cellStyle name="Currency" xfId="2" builtinId="4"/>
    <cellStyle name="Currency 3" xfId="185" xr:uid="{00000000-0005-0000-0000-000004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 xr:uid="{00000000-0005-0000-0000-0000B6000000}"/>
    <cellStyle name="Normal 3" xfId="179" xr:uid="{00000000-0005-0000-0000-0000B7000000}"/>
    <cellStyle name="Normal 3 4" xfId="184" xr:uid="{00000000-0005-0000-0000-0000B8000000}"/>
    <cellStyle name="Normal 4" xfId="181" xr:uid="{00000000-0005-0000-0000-0000B9000000}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27217</xdr:colOff>
      <xdr:row>0</xdr:row>
      <xdr:rowOff>40824</xdr:rowOff>
    </xdr:from>
    <xdr:to>
      <xdr:col>1</xdr:col>
      <xdr:colOff>204874</xdr:colOff>
      <xdr:row>3</xdr:row>
      <xdr:rowOff>122466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40824"/>
          <a:ext cx="395371" cy="5306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53"/>
  <sheetViews>
    <sheetView tabSelected="1" topLeftCell="A2" zoomScale="140" zoomScaleNormal="140" zoomScalePageLayoutView="136" workbookViewId="0">
      <selection activeCell="C125" sqref="C125"/>
    </sheetView>
  </sheetViews>
  <sheetFormatPr defaultColWidth="8.88671875" defaultRowHeight="11.4" x14ac:dyDescent="0.2"/>
  <cols>
    <col min="1" max="1" width="3.33203125" style="2" customWidth="1"/>
    <col min="2" max="2" width="15.88671875" style="3" customWidth="1"/>
    <col min="3" max="3" width="49.6640625" style="3" customWidth="1"/>
    <col min="4" max="4" width="12.33203125" style="8" customWidth="1"/>
    <col min="5" max="5" width="1.88671875" style="9" customWidth="1"/>
    <col min="6" max="6" width="12.33203125" style="9" customWidth="1"/>
    <col min="7" max="16384" width="8.88671875" style="2"/>
  </cols>
  <sheetData>
    <row r="4" spans="1:6" ht="12" x14ac:dyDescent="0.25">
      <c r="A4" s="1"/>
    </row>
    <row r="5" spans="1:6" ht="12" x14ac:dyDescent="0.25">
      <c r="A5" s="1"/>
    </row>
    <row r="6" spans="1:6" ht="12" x14ac:dyDescent="0.25">
      <c r="A6" s="1"/>
    </row>
    <row r="7" spans="1:6" ht="12" x14ac:dyDescent="0.25">
      <c r="A7" s="4" t="s">
        <v>49</v>
      </c>
    </row>
    <row r="8" spans="1:6" x14ac:dyDescent="0.2">
      <c r="A8" s="5" t="s">
        <v>21</v>
      </c>
    </row>
    <row r="9" spans="1:6" s="6" customFormat="1" ht="12" x14ac:dyDescent="0.25">
      <c r="A9" s="53" t="s">
        <v>13</v>
      </c>
      <c r="B9" s="53"/>
      <c r="C9" s="50" t="s">
        <v>0</v>
      </c>
      <c r="D9" s="52" t="s">
        <v>17</v>
      </c>
      <c r="E9" s="52"/>
      <c r="F9" s="52"/>
    </row>
    <row r="10" spans="1:6" s="7" customFormat="1" ht="24" x14ac:dyDescent="0.25">
      <c r="A10" s="54"/>
      <c r="B10" s="54"/>
      <c r="C10" s="51"/>
      <c r="D10" s="24" t="s">
        <v>14</v>
      </c>
      <c r="E10" s="24"/>
      <c r="F10" s="24" t="s">
        <v>15</v>
      </c>
    </row>
    <row r="11" spans="1:6" s="45" customFormat="1" ht="12" x14ac:dyDescent="0.2">
      <c r="A11" s="13" t="s">
        <v>29</v>
      </c>
      <c r="B11" s="14"/>
      <c r="C11" s="15"/>
      <c r="D11" s="16">
        <f>D24+D28+D33+D37+D42+D46+D53+D58+D62</f>
        <v>15569.29881</v>
      </c>
      <c r="E11" s="16"/>
      <c r="F11" s="16">
        <f>F24+F28+F33+F37+F42+F46+F53+F58+F62</f>
        <v>138205.5</v>
      </c>
    </row>
    <row r="12" spans="1:6" s="45" customFormat="1" ht="12" x14ac:dyDescent="0.2">
      <c r="A12" s="13" t="s">
        <v>2</v>
      </c>
      <c r="B12" s="14"/>
      <c r="C12" s="15"/>
      <c r="D12" s="17"/>
      <c r="E12" s="14"/>
      <c r="F12" s="17"/>
    </row>
    <row r="13" spans="1:6" s="45" customFormat="1" ht="12" x14ac:dyDescent="0.2">
      <c r="A13" s="13"/>
      <c r="B13" s="15" t="s">
        <v>50</v>
      </c>
      <c r="C13" s="15" t="s">
        <v>51</v>
      </c>
      <c r="D13" s="17"/>
      <c r="E13" s="14"/>
      <c r="F13" s="17">
        <f>60.1*1000</f>
        <v>60100</v>
      </c>
    </row>
    <row r="14" spans="1:6" s="45" customFormat="1" ht="24" customHeight="1" x14ac:dyDescent="0.2">
      <c r="A14" s="13"/>
      <c r="B14" s="15" t="s">
        <v>7</v>
      </c>
      <c r="C14" s="15" t="s">
        <v>102</v>
      </c>
      <c r="D14" s="17">
        <f>1.2*1000</f>
        <v>1200</v>
      </c>
      <c r="E14" s="14"/>
      <c r="F14" s="17"/>
    </row>
    <row r="15" spans="1:6" s="45" customFormat="1" ht="45.6" x14ac:dyDescent="0.2">
      <c r="A15" s="13"/>
      <c r="B15" s="15" t="s">
        <v>7</v>
      </c>
      <c r="C15" s="46" t="s">
        <v>103</v>
      </c>
      <c r="D15" s="17">
        <f>2.8*1000</f>
        <v>2800</v>
      </c>
      <c r="E15" s="14"/>
      <c r="F15" s="17"/>
    </row>
    <row r="16" spans="1:6" s="45" customFormat="1" ht="34.200000000000003" x14ac:dyDescent="0.2">
      <c r="A16" s="13"/>
      <c r="B16" s="15" t="s">
        <v>7</v>
      </c>
      <c r="C16" s="15" t="s">
        <v>104</v>
      </c>
      <c r="D16" s="17">
        <f>1*1000</f>
        <v>1000</v>
      </c>
      <c r="E16" s="14"/>
      <c r="F16" s="17"/>
    </row>
    <row r="17" spans="1:6" s="45" customFormat="1" ht="22.8" x14ac:dyDescent="0.2">
      <c r="A17" s="13"/>
      <c r="B17" s="15" t="s">
        <v>25</v>
      </c>
      <c r="C17" s="15" t="s">
        <v>105</v>
      </c>
      <c r="D17" s="17"/>
      <c r="E17" s="14"/>
      <c r="F17" s="17">
        <f>10.69*1000</f>
        <v>10690</v>
      </c>
    </row>
    <row r="18" spans="1:6" s="45" customFormat="1" ht="12" customHeight="1" x14ac:dyDescent="0.2">
      <c r="A18" s="13"/>
      <c r="B18" s="15" t="s">
        <v>25</v>
      </c>
      <c r="C18" s="15" t="s">
        <v>52</v>
      </c>
      <c r="D18" s="17"/>
      <c r="E18" s="14"/>
      <c r="F18" s="17">
        <f>12.8*1000</f>
        <v>12800</v>
      </c>
    </row>
    <row r="19" spans="1:6" s="45" customFormat="1" ht="22.8" x14ac:dyDescent="0.2">
      <c r="A19" s="13"/>
      <c r="B19" s="15" t="s">
        <v>53</v>
      </c>
      <c r="C19" s="15" t="s">
        <v>106</v>
      </c>
      <c r="D19" s="17"/>
      <c r="E19" s="14"/>
      <c r="F19" s="17">
        <f>12.5*1000</f>
        <v>12500</v>
      </c>
    </row>
    <row r="20" spans="1:6" s="45" customFormat="1" ht="22.8" x14ac:dyDescent="0.2">
      <c r="A20" s="13"/>
      <c r="B20" s="15" t="s">
        <v>45</v>
      </c>
      <c r="C20" s="15" t="s">
        <v>107</v>
      </c>
      <c r="D20" s="17"/>
      <c r="E20" s="14"/>
      <c r="F20" s="17">
        <f>1.2542*1000</f>
        <v>1254.2</v>
      </c>
    </row>
    <row r="21" spans="1:6" s="45" customFormat="1" ht="12" x14ac:dyDescent="0.2">
      <c r="A21" s="13"/>
      <c r="B21" s="15" t="s">
        <v>54</v>
      </c>
      <c r="C21" s="15" t="s">
        <v>55</v>
      </c>
      <c r="D21" s="17">
        <f>0.333*1000</f>
        <v>333</v>
      </c>
      <c r="E21" s="14"/>
      <c r="F21" s="17"/>
    </row>
    <row r="22" spans="1:6" s="45" customFormat="1" ht="22.8" x14ac:dyDescent="0.2">
      <c r="A22" s="13"/>
      <c r="B22" s="15" t="s">
        <v>46</v>
      </c>
      <c r="C22" s="15" t="s">
        <v>108</v>
      </c>
      <c r="D22" s="17">
        <f>3.9*1000</f>
        <v>3900</v>
      </c>
      <c r="E22" s="14"/>
      <c r="F22" s="17"/>
    </row>
    <row r="23" spans="1:6" s="45" customFormat="1" ht="22.8" x14ac:dyDescent="0.2">
      <c r="A23" s="25"/>
      <c r="B23" s="15" t="s">
        <v>12</v>
      </c>
      <c r="C23" s="15" t="s">
        <v>109</v>
      </c>
      <c r="D23" s="17">
        <f>1.2938396*1000</f>
        <v>1293.8396</v>
      </c>
      <c r="E23" s="28"/>
      <c r="F23" s="27"/>
    </row>
    <row r="24" spans="1:6" s="45" customFormat="1" ht="12" x14ac:dyDescent="0.2">
      <c r="A24" s="25"/>
      <c r="B24" s="26"/>
      <c r="C24" s="18" t="s">
        <v>22</v>
      </c>
      <c r="D24" s="29">
        <f>SUM(D13:D23)</f>
        <v>10526.839599999999</v>
      </c>
      <c r="E24" s="12">
        <f>SUM(E13:E23)</f>
        <v>0</v>
      </c>
      <c r="F24" s="29">
        <f>SUM(F13:F23)</f>
        <v>97344.2</v>
      </c>
    </row>
    <row r="25" spans="1:6" s="45" customFormat="1" ht="12" x14ac:dyDescent="0.2">
      <c r="A25" s="25"/>
      <c r="B25" s="30"/>
      <c r="C25" s="18"/>
      <c r="D25" s="31"/>
      <c r="E25" s="25"/>
      <c r="F25" s="31"/>
    </row>
    <row r="26" spans="1:6" s="45" customFormat="1" ht="12" x14ac:dyDescent="0.2">
      <c r="A26" s="13" t="s">
        <v>30</v>
      </c>
      <c r="B26" s="30"/>
      <c r="C26" s="18"/>
      <c r="D26" s="31"/>
      <c r="E26" s="25"/>
      <c r="F26" s="31"/>
    </row>
    <row r="27" spans="1:6" s="45" customFormat="1" ht="12" x14ac:dyDescent="0.2">
      <c r="A27" s="13"/>
      <c r="B27" s="26" t="s">
        <v>12</v>
      </c>
      <c r="C27" s="32" t="s">
        <v>37</v>
      </c>
      <c r="D27" s="27">
        <f>1.055*1000</f>
        <v>1055</v>
      </c>
      <c r="E27" s="28"/>
      <c r="F27" s="27"/>
    </row>
    <row r="28" spans="1:6" s="45" customFormat="1" ht="12" x14ac:dyDescent="0.2">
      <c r="A28" s="13"/>
      <c r="B28" s="26"/>
      <c r="C28" s="18" t="s">
        <v>22</v>
      </c>
      <c r="D28" s="29">
        <f>SUM(D27)</f>
        <v>1055</v>
      </c>
      <c r="E28" s="28"/>
      <c r="F28" s="33"/>
    </row>
    <row r="29" spans="1:6" s="45" customFormat="1" ht="12" x14ac:dyDescent="0.2">
      <c r="A29" s="13"/>
      <c r="B29" s="30"/>
      <c r="C29" s="18"/>
      <c r="D29" s="34"/>
      <c r="E29" s="25"/>
      <c r="F29" s="35"/>
    </row>
    <row r="30" spans="1:6" s="45" customFormat="1" ht="12" x14ac:dyDescent="0.2">
      <c r="A30" s="13" t="s">
        <v>35</v>
      </c>
      <c r="B30" s="26"/>
      <c r="C30" s="32"/>
      <c r="D30" s="27"/>
      <c r="E30" s="28"/>
      <c r="F30" s="27"/>
    </row>
    <row r="31" spans="1:6" s="45" customFormat="1" ht="22.8" x14ac:dyDescent="0.2">
      <c r="A31" s="13"/>
      <c r="B31" s="26" t="s">
        <v>46</v>
      </c>
      <c r="C31" s="32" t="s">
        <v>110</v>
      </c>
      <c r="D31" s="27">
        <f>2.7*1000</f>
        <v>2700</v>
      </c>
      <c r="E31" s="28"/>
      <c r="F31" s="27"/>
    </row>
    <row r="32" spans="1:6" s="45" customFormat="1" ht="34.200000000000003" x14ac:dyDescent="0.2">
      <c r="A32" s="13"/>
      <c r="B32" s="26" t="s">
        <v>12</v>
      </c>
      <c r="C32" s="32" t="s">
        <v>111</v>
      </c>
      <c r="D32" s="27">
        <f>0.01013793*1000</f>
        <v>10.137929999999999</v>
      </c>
      <c r="E32" s="28"/>
      <c r="F32" s="27"/>
    </row>
    <row r="33" spans="1:6" s="45" customFormat="1" ht="12" x14ac:dyDescent="0.2">
      <c r="A33" s="25"/>
      <c r="B33" s="26"/>
      <c r="C33" s="18" t="s">
        <v>22</v>
      </c>
      <c r="D33" s="29">
        <f>SUM(D31:D32)</f>
        <v>2710.1379299999999</v>
      </c>
      <c r="E33" s="28"/>
      <c r="F33" s="33"/>
    </row>
    <row r="34" spans="1:6" s="45" customFormat="1" ht="12" x14ac:dyDescent="0.2">
      <c r="A34" s="25"/>
      <c r="B34" s="26"/>
      <c r="C34" s="18"/>
      <c r="D34" s="12"/>
      <c r="E34" s="28"/>
      <c r="F34" s="33"/>
    </row>
    <row r="35" spans="1:6" s="45" customFormat="1" ht="12" x14ac:dyDescent="0.2">
      <c r="A35" s="13" t="s">
        <v>56</v>
      </c>
      <c r="B35" s="26"/>
      <c r="C35" s="32"/>
      <c r="D35" s="27"/>
      <c r="E35" s="28"/>
      <c r="F35" s="27"/>
    </row>
    <row r="36" spans="1:6" s="45" customFormat="1" ht="12" x14ac:dyDescent="0.2">
      <c r="A36" s="13"/>
      <c r="B36" s="26" t="s">
        <v>5</v>
      </c>
      <c r="C36" s="32" t="s">
        <v>57</v>
      </c>
      <c r="D36" s="12"/>
      <c r="E36" s="28"/>
      <c r="F36" s="27">
        <f>7.51*1000</f>
        <v>7510</v>
      </c>
    </row>
    <row r="37" spans="1:6" s="45" customFormat="1" ht="12" x14ac:dyDescent="0.2">
      <c r="A37" s="25"/>
      <c r="B37" s="26"/>
      <c r="C37" s="18" t="s">
        <v>22</v>
      </c>
      <c r="D37" s="12"/>
      <c r="E37" s="28"/>
      <c r="F37" s="29">
        <f>SUM(F36)</f>
        <v>7510</v>
      </c>
    </row>
    <row r="38" spans="1:6" s="45" customFormat="1" ht="12" x14ac:dyDescent="0.2">
      <c r="A38" s="25"/>
      <c r="B38" s="26"/>
      <c r="C38" s="18"/>
      <c r="D38" s="12"/>
      <c r="E38" s="28"/>
      <c r="F38" s="33"/>
    </row>
    <row r="39" spans="1:6" s="45" customFormat="1" ht="12" x14ac:dyDescent="0.2">
      <c r="A39" s="13" t="s">
        <v>26</v>
      </c>
      <c r="B39" s="26"/>
      <c r="C39" s="18"/>
      <c r="D39" s="27"/>
      <c r="E39" s="28"/>
      <c r="F39" s="27"/>
    </row>
    <row r="40" spans="1:6" s="45" customFormat="1" ht="48" customHeight="1" x14ac:dyDescent="0.2">
      <c r="A40" s="13"/>
      <c r="B40" s="26" t="s">
        <v>12</v>
      </c>
      <c r="C40" s="32" t="s">
        <v>112</v>
      </c>
      <c r="D40" s="27">
        <f>0.02959889*1000</f>
        <v>29.598890000000001</v>
      </c>
      <c r="E40" s="28"/>
      <c r="F40" s="27"/>
    </row>
    <row r="41" spans="1:6" s="45" customFormat="1" ht="22.8" x14ac:dyDescent="0.2">
      <c r="A41" s="25"/>
      <c r="B41" s="26" t="s">
        <v>12</v>
      </c>
      <c r="C41" s="32" t="s">
        <v>113</v>
      </c>
      <c r="D41" s="27">
        <f>0.6457*1000</f>
        <v>645.70000000000005</v>
      </c>
      <c r="E41" s="28"/>
      <c r="F41" s="27"/>
    </row>
    <row r="42" spans="1:6" s="45" customFormat="1" ht="12" x14ac:dyDescent="0.2">
      <c r="A42" s="25"/>
      <c r="B42" s="26"/>
      <c r="C42" s="18" t="s">
        <v>22</v>
      </c>
      <c r="D42" s="29">
        <f>SUM(D40:D41)</f>
        <v>675.29889000000003</v>
      </c>
      <c r="E42" s="28"/>
      <c r="F42" s="12"/>
    </row>
    <row r="43" spans="1:6" s="45" customFormat="1" ht="12" x14ac:dyDescent="0.2">
      <c r="A43" s="25"/>
      <c r="B43" s="26"/>
      <c r="C43" s="32"/>
      <c r="D43" s="27"/>
      <c r="E43" s="28"/>
      <c r="F43" s="27"/>
    </row>
    <row r="44" spans="1:6" s="45" customFormat="1" ht="12" x14ac:dyDescent="0.2">
      <c r="A44" s="47" t="s">
        <v>58</v>
      </c>
      <c r="B44" s="48"/>
      <c r="C44" s="18"/>
      <c r="D44" s="27"/>
      <c r="E44" s="28"/>
      <c r="F44" s="27"/>
    </row>
    <row r="45" spans="1:6" s="45" customFormat="1" ht="22.8" x14ac:dyDescent="0.2">
      <c r="A45" s="25"/>
      <c r="B45" s="26" t="s">
        <v>3</v>
      </c>
      <c r="C45" s="32" t="s">
        <v>114</v>
      </c>
      <c r="D45" s="27"/>
      <c r="E45" s="28"/>
      <c r="F45" s="27">
        <f>17.89*1000</f>
        <v>17890</v>
      </c>
    </row>
    <row r="46" spans="1:6" s="45" customFormat="1" ht="12" x14ac:dyDescent="0.2">
      <c r="A46" s="25"/>
      <c r="B46" s="26"/>
      <c r="C46" s="18" t="s">
        <v>22</v>
      </c>
      <c r="D46" s="33"/>
      <c r="E46" s="28"/>
      <c r="F46" s="29">
        <f>SUM(F45)</f>
        <v>17890</v>
      </c>
    </row>
    <row r="47" spans="1:6" s="45" customFormat="1" ht="12" x14ac:dyDescent="0.2">
      <c r="A47" s="28"/>
      <c r="B47" s="26"/>
      <c r="C47" s="18"/>
      <c r="D47" s="27"/>
      <c r="E47" s="28"/>
      <c r="F47" s="27"/>
    </row>
    <row r="48" spans="1:6" s="45" customFormat="1" ht="12" x14ac:dyDescent="0.2">
      <c r="A48" s="47" t="s">
        <v>1</v>
      </c>
      <c r="B48" s="49"/>
      <c r="C48" s="26"/>
      <c r="D48" s="27"/>
      <c r="E48" s="28"/>
      <c r="F48" s="27"/>
    </row>
    <row r="49" spans="1:6" s="45" customFormat="1" ht="12" x14ac:dyDescent="0.2">
      <c r="A49" s="13"/>
      <c r="B49" s="28" t="s">
        <v>50</v>
      </c>
      <c r="C49" s="26" t="s">
        <v>51</v>
      </c>
      <c r="D49" s="27"/>
      <c r="E49" s="28"/>
      <c r="F49" s="27">
        <f>1.6*1000</f>
        <v>1600</v>
      </c>
    </row>
    <row r="50" spans="1:6" s="45" customFormat="1" ht="12" x14ac:dyDescent="0.2">
      <c r="A50" s="13"/>
      <c r="B50" s="28" t="s">
        <v>25</v>
      </c>
      <c r="C50" s="26" t="s">
        <v>98</v>
      </c>
      <c r="D50" s="27"/>
      <c r="E50" s="28"/>
      <c r="F50" s="27">
        <f>1*1000</f>
        <v>1000</v>
      </c>
    </row>
    <row r="51" spans="1:6" s="45" customFormat="1" ht="22.8" x14ac:dyDescent="0.2">
      <c r="A51" s="13"/>
      <c r="B51" s="28" t="s">
        <v>53</v>
      </c>
      <c r="C51" s="26" t="s">
        <v>106</v>
      </c>
      <c r="D51" s="27"/>
      <c r="E51" s="28"/>
      <c r="F51" s="27">
        <f>4.4*1000</f>
        <v>4400</v>
      </c>
    </row>
    <row r="52" spans="1:6" s="45" customFormat="1" ht="22.8" x14ac:dyDescent="0.2">
      <c r="A52" s="13"/>
      <c r="B52" s="28" t="s">
        <v>45</v>
      </c>
      <c r="C52" s="26" t="s">
        <v>107</v>
      </c>
      <c r="D52" s="27"/>
      <c r="E52" s="28"/>
      <c r="F52" s="27">
        <f>1.7013*1000</f>
        <v>1701.3</v>
      </c>
    </row>
    <row r="53" spans="1:6" s="45" customFormat="1" ht="12" x14ac:dyDescent="0.2">
      <c r="A53" s="28"/>
      <c r="B53" s="26"/>
      <c r="C53" s="18" t="s">
        <v>22</v>
      </c>
      <c r="D53" s="27"/>
      <c r="E53" s="28"/>
      <c r="F53" s="29">
        <f>SUM(F49:F52)</f>
        <v>8701.2999999999993</v>
      </c>
    </row>
    <row r="54" spans="1:6" s="45" customFormat="1" ht="12" x14ac:dyDescent="0.2">
      <c r="A54" s="28"/>
      <c r="B54" s="26"/>
      <c r="C54" s="18"/>
      <c r="D54" s="27"/>
      <c r="E54" s="28"/>
      <c r="F54" s="27"/>
    </row>
    <row r="55" spans="1:6" s="45" customFormat="1" ht="12" x14ac:dyDescent="0.2">
      <c r="A55" s="47" t="s">
        <v>59</v>
      </c>
      <c r="B55" s="49"/>
      <c r="C55" s="26"/>
      <c r="D55" s="27"/>
      <c r="E55" s="28"/>
      <c r="F55" s="27"/>
    </row>
    <row r="56" spans="1:6" s="45" customFormat="1" ht="22.8" x14ac:dyDescent="0.2">
      <c r="A56" s="13"/>
      <c r="B56" s="28" t="s">
        <v>5</v>
      </c>
      <c r="C56" s="26" t="s">
        <v>115</v>
      </c>
      <c r="D56" s="27">
        <f>0.6*1000</f>
        <v>600</v>
      </c>
      <c r="E56" s="28"/>
      <c r="F56" s="27"/>
    </row>
    <row r="57" spans="1:6" s="45" customFormat="1" x14ac:dyDescent="0.2">
      <c r="A57" s="28"/>
      <c r="B57" s="28" t="s">
        <v>5</v>
      </c>
      <c r="C57" s="26" t="s">
        <v>57</v>
      </c>
      <c r="D57" s="27"/>
      <c r="E57" s="28"/>
      <c r="F57" s="27">
        <f>6.76*1000</f>
        <v>6760</v>
      </c>
    </row>
    <row r="58" spans="1:6" s="45" customFormat="1" ht="12" x14ac:dyDescent="0.2">
      <c r="A58" s="28"/>
      <c r="B58" s="26"/>
      <c r="C58" s="18" t="s">
        <v>22</v>
      </c>
      <c r="D58" s="29">
        <f>SUM(D56:D57)</f>
        <v>600</v>
      </c>
      <c r="E58" s="28"/>
      <c r="F58" s="29">
        <f>SUM(F56:F57)</f>
        <v>6760</v>
      </c>
    </row>
    <row r="59" spans="1:6" s="45" customFormat="1" x14ac:dyDescent="0.2">
      <c r="A59" s="28"/>
      <c r="B59" s="28"/>
      <c r="C59" s="26"/>
      <c r="D59" s="27"/>
      <c r="E59" s="28"/>
      <c r="F59" s="27"/>
    </row>
    <row r="60" spans="1:6" s="45" customFormat="1" ht="12" x14ac:dyDescent="0.2">
      <c r="A60" s="13" t="s">
        <v>20</v>
      </c>
      <c r="B60" s="26"/>
      <c r="C60" s="18"/>
      <c r="D60" s="27"/>
      <c r="E60" s="28"/>
      <c r="F60" s="27"/>
    </row>
    <row r="61" spans="1:6" s="45" customFormat="1" ht="48" customHeight="1" x14ac:dyDescent="0.2">
      <c r="A61" s="13"/>
      <c r="B61" s="26" t="s">
        <v>12</v>
      </c>
      <c r="C61" s="32" t="s">
        <v>112</v>
      </c>
      <c r="D61" s="27">
        <f>0.00202239*1000</f>
        <v>2.0223900000000001</v>
      </c>
      <c r="E61" s="28"/>
      <c r="F61" s="27"/>
    </row>
    <row r="62" spans="1:6" s="45" customFormat="1" ht="12" x14ac:dyDescent="0.2">
      <c r="A62" s="28"/>
      <c r="B62" s="26"/>
      <c r="C62" s="18" t="s">
        <v>22</v>
      </c>
      <c r="D62" s="29">
        <f>SUM(D61:D61)</f>
        <v>2.0223900000000001</v>
      </c>
      <c r="E62" s="28"/>
      <c r="F62" s="27"/>
    </row>
    <row r="63" spans="1:6" s="45" customFormat="1" ht="12" x14ac:dyDescent="0.2">
      <c r="A63" s="25"/>
      <c r="B63" s="30"/>
      <c r="C63" s="18"/>
      <c r="D63" s="31"/>
      <c r="E63" s="25"/>
      <c r="F63" s="31"/>
    </row>
    <row r="64" spans="1:6" s="45" customFormat="1" ht="12" x14ac:dyDescent="0.2">
      <c r="A64" s="13" t="s">
        <v>60</v>
      </c>
      <c r="B64" s="28"/>
      <c r="C64" s="26"/>
      <c r="D64" s="16">
        <f>D67+D75+D80+D89+D112+D117+D139+D143+D147</f>
        <v>42410</v>
      </c>
      <c r="E64" s="16"/>
      <c r="F64" s="16">
        <f>F67+F75+F80+F89+F112+F117+F139+F143</f>
        <v>22450</v>
      </c>
    </row>
    <row r="65" spans="1:6" s="45" customFormat="1" ht="24" customHeight="1" x14ac:dyDescent="0.2">
      <c r="A65" s="56" t="s">
        <v>185</v>
      </c>
      <c r="B65" s="56"/>
      <c r="C65" s="56"/>
      <c r="D65" s="27"/>
      <c r="E65" s="28"/>
      <c r="F65" s="27"/>
    </row>
    <row r="66" spans="1:6" s="45" customFormat="1" ht="12" x14ac:dyDescent="0.2">
      <c r="A66" s="13"/>
      <c r="B66" s="28" t="s">
        <v>12</v>
      </c>
      <c r="C66" s="32" t="s">
        <v>61</v>
      </c>
      <c r="D66" s="27">
        <f>1.75*1000</f>
        <v>1750</v>
      </c>
      <c r="E66" s="28"/>
      <c r="F66" s="27"/>
    </row>
    <row r="67" spans="1:6" s="45" customFormat="1" ht="12" x14ac:dyDescent="0.2">
      <c r="A67" s="13"/>
      <c r="B67" s="28"/>
      <c r="C67" s="18" t="s">
        <v>22</v>
      </c>
      <c r="D67" s="29">
        <f>SUM(D66)</f>
        <v>1750</v>
      </c>
      <c r="E67" s="28"/>
      <c r="F67" s="27"/>
    </row>
    <row r="68" spans="1:6" s="45" customFormat="1" ht="12" x14ac:dyDescent="0.2">
      <c r="A68" s="13"/>
      <c r="B68" s="28"/>
      <c r="C68" s="32"/>
      <c r="D68" s="27"/>
      <c r="E68" s="28"/>
      <c r="F68" s="27"/>
    </row>
    <row r="69" spans="1:6" s="45" customFormat="1" ht="12" x14ac:dyDescent="0.2">
      <c r="A69" s="13" t="s">
        <v>27</v>
      </c>
      <c r="B69" s="36"/>
      <c r="C69" s="18"/>
      <c r="D69" s="27"/>
      <c r="E69" s="28"/>
      <c r="F69" s="27"/>
    </row>
    <row r="70" spans="1:6" s="45" customFormat="1" ht="12" x14ac:dyDescent="0.2">
      <c r="A70" s="13"/>
      <c r="B70" s="28" t="s">
        <v>23</v>
      </c>
      <c r="C70" s="32" t="s">
        <v>62</v>
      </c>
      <c r="D70" s="27">
        <f>0.2*1000</f>
        <v>200</v>
      </c>
      <c r="E70" s="28"/>
      <c r="F70" s="27"/>
    </row>
    <row r="71" spans="1:6" s="45" customFormat="1" ht="22.8" x14ac:dyDescent="0.2">
      <c r="A71" s="13"/>
      <c r="B71" s="36" t="s">
        <v>23</v>
      </c>
      <c r="C71" s="32" t="s">
        <v>43</v>
      </c>
      <c r="D71" s="27">
        <f>1*1000</f>
        <v>1000</v>
      </c>
      <c r="E71" s="28"/>
      <c r="F71" s="27"/>
    </row>
    <row r="72" spans="1:6" s="45" customFormat="1" ht="34.200000000000003" x14ac:dyDescent="0.2">
      <c r="A72" s="13"/>
      <c r="B72" s="36" t="s">
        <v>12</v>
      </c>
      <c r="C72" s="32" t="s">
        <v>116</v>
      </c>
      <c r="D72" s="27">
        <f>0.8*1000</f>
        <v>800</v>
      </c>
      <c r="E72" s="28"/>
      <c r="F72" s="27"/>
    </row>
    <row r="73" spans="1:6" s="45" customFormat="1" ht="23.25" customHeight="1" x14ac:dyDescent="0.2">
      <c r="A73" s="13"/>
      <c r="B73" s="36" t="s">
        <v>12</v>
      </c>
      <c r="C73" s="32" t="s">
        <v>117</v>
      </c>
      <c r="D73" s="27">
        <f>0.5*1000</f>
        <v>500</v>
      </c>
      <c r="E73" s="28"/>
      <c r="F73" s="27"/>
    </row>
    <row r="74" spans="1:6" s="45" customFormat="1" ht="22.8" x14ac:dyDescent="0.2">
      <c r="A74" s="28"/>
      <c r="B74" s="28" t="s">
        <v>12</v>
      </c>
      <c r="C74" s="32" t="s">
        <v>118</v>
      </c>
      <c r="D74" s="27">
        <f>0.3*1000</f>
        <v>300</v>
      </c>
      <c r="E74" s="28"/>
      <c r="F74" s="27"/>
    </row>
    <row r="75" spans="1:6" s="45" customFormat="1" ht="12" x14ac:dyDescent="0.2">
      <c r="A75" s="28"/>
      <c r="B75" s="36"/>
      <c r="C75" s="18" t="s">
        <v>22</v>
      </c>
      <c r="D75" s="29">
        <f>SUM(D70:D74)</f>
        <v>2800</v>
      </c>
      <c r="E75" s="28"/>
      <c r="F75" s="27"/>
    </row>
    <row r="76" spans="1:6" s="45" customFormat="1" ht="12" x14ac:dyDescent="0.2">
      <c r="A76" s="28"/>
      <c r="B76" s="26"/>
      <c r="C76" s="18"/>
      <c r="D76" s="27"/>
      <c r="E76" s="28"/>
      <c r="F76" s="27"/>
    </row>
    <row r="77" spans="1:6" s="45" customFormat="1" ht="24" customHeight="1" x14ac:dyDescent="0.2">
      <c r="A77" s="56" t="s">
        <v>179</v>
      </c>
      <c r="B77" s="56"/>
      <c r="C77" s="56"/>
      <c r="D77" s="27"/>
      <c r="E77" s="28"/>
      <c r="F77" s="27"/>
    </row>
    <row r="78" spans="1:6" s="45" customFormat="1" ht="22.8" x14ac:dyDescent="0.2">
      <c r="A78" s="13"/>
      <c r="B78" s="26" t="s">
        <v>6</v>
      </c>
      <c r="C78" s="32" t="s">
        <v>39</v>
      </c>
      <c r="D78" s="27">
        <f>0.2*1000</f>
        <v>200</v>
      </c>
      <c r="E78" s="28"/>
      <c r="F78" s="27"/>
    </row>
    <row r="79" spans="1:6" s="45" customFormat="1" ht="24" customHeight="1" x14ac:dyDescent="0.2">
      <c r="A79" s="13"/>
      <c r="B79" s="26" t="s">
        <v>8</v>
      </c>
      <c r="C79" s="32" t="s">
        <v>119</v>
      </c>
      <c r="D79" s="27">
        <f>0.5*1000</f>
        <v>500</v>
      </c>
      <c r="E79" s="28"/>
      <c r="F79" s="27"/>
    </row>
    <row r="80" spans="1:6" s="45" customFormat="1" ht="12" x14ac:dyDescent="0.2">
      <c r="A80" s="28"/>
      <c r="B80" s="26"/>
      <c r="C80" s="18" t="s">
        <v>22</v>
      </c>
      <c r="D80" s="29">
        <f>SUM(D78:D79)</f>
        <v>700</v>
      </c>
      <c r="E80" s="28"/>
      <c r="F80" s="27"/>
    </row>
    <row r="81" spans="1:6" s="45" customFormat="1" ht="12" x14ac:dyDescent="0.2">
      <c r="A81" s="28"/>
      <c r="B81" s="26"/>
      <c r="C81" s="18"/>
      <c r="D81" s="27"/>
      <c r="E81" s="28"/>
      <c r="F81" s="27"/>
    </row>
    <row r="82" spans="1:6" s="45" customFormat="1" ht="24" customHeight="1" x14ac:dyDescent="0.2">
      <c r="A82" s="57" t="s">
        <v>180</v>
      </c>
      <c r="B82" s="57"/>
      <c r="C82" s="57"/>
      <c r="D82" s="27"/>
      <c r="E82" s="28"/>
      <c r="F82" s="27"/>
    </row>
    <row r="83" spans="1:6" s="45" customFormat="1" ht="12" customHeight="1" x14ac:dyDescent="0.2">
      <c r="A83" s="20"/>
      <c r="B83" s="36" t="s">
        <v>63</v>
      </c>
      <c r="C83" s="37" t="s">
        <v>36</v>
      </c>
      <c r="D83" s="27"/>
      <c r="E83" s="28"/>
      <c r="F83" s="27">
        <f>0.25*1000</f>
        <v>250</v>
      </c>
    </row>
    <row r="84" spans="1:6" s="45" customFormat="1" ht="12" customHeight="1" x14ac:dyDescent="0.2">
      <c r="A84" s="20"/>
      <c r="B84" s="36" t="s">
        <v>63</v>
      </c>
      <c r="C84" s="37" t="s">
        <v>99</v>
      </c>
      <c r="D84" s="27"/>
      <c r="E84" s="28"/>
      <c r="F84" s="27">
        <f>0.7*1000</f>
        <v>700</v>
      </c>
    </row>
    <row r="85" spans="1:6" s="45" customFormat="1" ht="24" customHeight="1" x14ac:dyDescent="0.2">
      <c r="A85" s="20"/>
      <c r="B85" s="36" t="s">
        <v>12</v>
      </c>
      <c r="C85" s="37" t="s">
        <v>121</v>
      </c>
      <c r="D85" s="27">
        <f>0.75*1000</f>
        <v>750</v>
      </c>
      <c r="E85" s="28"/>
      <c r="F85" s="27"/>
    </row>
    <row r="86" spans="1:6" s="45" customFormat="1" ht="22.8" x14ac:dyDescent="0.2">
      <c r="A86" s="20"/>
      <c r="B86" s="36" t="s">
        <v>12</v>
      </c>
      <c r="C86" s="37" t="s">
        <v>120</v>
      </c>
      <c r="D86" s="27">
        <f>1.05*1000</f>
        <v>1050</v>
      </c>
      <c r="E86" s="28"/>
      <c r="F86" s="27"/>
    </row>
    <row r="87" spans="1:6" s="45" customFormat="1" ht="12" x14ac:dyDescent="0.2">
      <c r="A87" s="20"/>
      <c r="B87" s="36" t="s">
        <v>12</v>
      </c>
      <c r="C87" s="37" t="s">
        <v>64</v>
      </c>
      <c r="D87" s="27">
        <f>0.2*1000</f>
        <v>200</v>
      </c>
      <c r="E87" s="28"/>
      <c r="F87" s="27"/>
    </row>
    <row r="88" spans="1:6" s="45" customFormat="1" ht="24" customHeight="1" x14ac:dyDescent="0.2">
      <c r="A88" s="20"/>
      <c r="B88" s="26" t="s">
        <v>12</v>
      </c>
      <c r="C88" s="37" t="s">
        <v>122</v>
      </c>
      <c r="D88" s="27">
        <f>0.7*1000</f>
        <v>700</v>
      </c>
      <c r="E88" s="28"/>
      <c r="F88" s="27"/>
    </row>
    <row r="89" spans="1:6" s="45" customFormat="1" ht="12" x14ac:dyDescent="0.2">
      <c r="A89" s="20"/>
      <c r="B89" s="26"/>
      <c r="C89" s="18" t="s">
        <v>22</v>
      </c>
      <c r="D89" s="29">
        <f>SUM(D83:D88)</f>
        <v>2700</v>
      </c>
      <c r="E89" s="28"/>
      <c r="F89" s="29">
        <f>SUM(F83:F88)</f>
        <v>950</v>
      </c>
    </row>
    <row r="90" spans="1:6" s="45" customFormat="1" ht="12" x14ac:dyDescent="0.2">
      <c r="A90" s="20"/>
      <c r="B90" s="26"/>
      <c r="C90" s="37"/>
      <c r="D90" s="27"/>
      <c r="E90" s="28"/>
      <c r="F90" s="27"/>
    </row>
    <row r="91" spans="1:6" s="45" customFormat="1" ht="12" x14ac:dyDescent="0.2">
      <c r="A91" s="20" t="s">
        <v>65</v>
      </c>
      <c r="B91" s="26"/>
      <c r="C91" s="37"/>
      <c r="D91" s="27"/>
      <c r="E91" s="28"/>
      <c r="F91" s="27"/>
    </row>
    <row r="92" spans="1:6" s="45" customFormat="1" ht="23.25" customHeight="1" x14ac:dyDescent="0.2">
      <c r="A92" s="20"/>
      <c r="B92" s="26" t="s">
        <v>3</v>
      </c>
      <c r="C92" s="37" t="s">
        <v>123</v>
      </c>
      <c r="D92" s="27">
        <f>2*1000</f>
        <v>2000</v>
      </c>
      <c r="E92" s="28"/>
      <c r="F92" s="27"/>
    </row>
    <row r="93" spans="1:6" s="45" customFormat="1" ht="12" x14ac:dyDescent="0.2">
      <c r="A93" s="20"/>
      <c r="B93" s="26" t="s">
        <v>3</v>
      </c>
      <c r="C93" s="37" t="s">
        <v>66</v>
      </c>
      <c r="D93" s="27">
        <f>2*1000</f>
        <v>2000</v>
      </c>
      <c r="E93" s="28"/>
      <c r="F93" s="27"/>
    </row>
    <row r="94" spans="1:6" s="45" customFormat="1" ht="22.8" x14ac:dyDescent="0.2">
      <c r="A94" s="20"/>
      <c r="B94" s="26" t="s">
        <v>31</v>
      </c>
      <c r="C94" s="37" t="s">
        <v>124</v>
      </c>
      <c r="D94" s="27"/>
      <c r="E94" s="28"/>
      <c r="F94" s="27">
        <f>3*1000</f>
        <v>3000</v>
      </c>
    </row>
    <row r="95" spans="1:6" s="45" customFormat="1" ht="12" x14ac:dyDescent="0.2">
      <c r="A95" s="20"/>
      <c r="B95" s="26" t="s">
        <v>31</v>
      </c>
      <c r="C95" s="37" t="s">
        <v>67</v>
      </c>
      <c r="D95" s="27"/>
      <c r="E95" s="28"/>
      <c r="F95" s="27">
        <f>2*1000</f>
        <v>2000</v>
      </c>
    </row>
    <row r="96" spans="1:6" s="45" customFormat="1" ht="12" x14ac:dyDescent="0.2">
      <c r="A96" s="20"/>
      <c r="B96" s="26" t="s">
        <v>6</v>
      </c>
      <c r="C96" s="37" t="s">
        <v>68</v>
      </c>
      <c r="D96" s="27"/>
      <c r="E96" s="28"/>
      <c r="F96" s="27">
        <f>3*1000</f>
        <v>3000</v>
      </c>
    </row>
    <row r="97" spans="1:6" s="45" customFormat="1" ht="12" x14ac:dyDescent="0.2">
      <c r="A97" s="20"/>
      <c r="B97" s="26" t="s">
        <v>50</v>
      </c>
      <c r="C97" s="37" t="s">
        <v>69</v>
      </c>
      <c r="D97" s="27"/>
      <c r="E97" s="28"/>
      <c r="F97" s="27">
        <f>3*1000</f>
        <v>3000</v>
      </c>
    </row>
    <row r="98" spans="1:6" s="45" customFormat="1" ht="22.8" x14ac:dyDescent="0.2">
      <c r="A98" s="20"/>
      <c r="B98" s="26" t="s">
        <v>4</v>
      </c>
      <c r="C98" s="37" t="s">
        <v>125</v>
      </c>
      <c r="D98" s="27"/>
      <c r="E98" s="28"/>
      <c r="F98" s="27">
        <f>2*1000</f>
        <v>2000</v>
      </c>
    </row>
    <row r="99" spans="1:6" s="45" customFormat="1" ht="12" x14ac:dyDescent="0.2">
      <c r="A99" s="20"/>
      <c r="B99" s="26" t="s">
        <v>18</v>
      </c>
      <c r="C99" s="37" t="s">
        <v>70</v>
      </c>
      <c r="D99" s="27">
        <f>1*1000</f>
        <v>1000</v>
      </c>
      <c r="E99" s="28"/>
      <c r="F99" s="27"/>
    </row>
    <row r="100" spans="1:6" s="45" customFormat="1" ht="12" x14ac:dyDescent="0.2">
      <c r="A100" s="20"/>
      <c r="B100" s="26" t="s">
        <v>18</v>
      </c>
      <c r="C100" s="37" t="s">
        <v>71</v>
      </c>
      <c r="D100" s="27"/>
      <c r="E100" s="28"/>
      <c r="F100" s="27">
        <f>2*1000</f>
        <v>2000</v>
      </c>
    </row>
    <row r="101" spans="1:6" s="45" customFormat="1" ht="22.8" x14ac:dyDescent="0.2">
      <c r="A101" s="20"/>
      <c r="B101" s="26" t="s">
        <v>18</v>
      </c>
      <c r="C101" s="37" t="s">
        <v>126</v>
      </c>
      <c r="D101" s="27">
        <f>1.5*1000</f>
        <v>1500</v>
      </c>
      <c r="E101" s="28"/>
      <c r="F101" s="27"/>
    </row>
    <row r="102" spans="1:6" s="45" customFormat="1" ht="12" x14ac:dyDescent="0.2">
      <c r="A102" s="20"/>
      <c r="B102" s="26" t="s">
        <v>18</v>
      </c>
      <c r="C102" s="37" t="s">
        <v>72</v>
      </c>
      <c r="D102" s="27"/>
      <c r="E102" s="28"/>
      <c r="F102" s="27">
        <f>2*1000</f>
        <v>2000</v>
      </c>
    </row>
    <row r="103" spans="1:6" s="45" customFormat="1" ht="34.200000000000003" x14ac:dyDescent="0.2">
      <c r="A103" s="20"/>
      <c r="B103" s="26" t="s">
        <v>10</v>
      </c>
      <c r="C103" s="37" t="s">
        <v>127</v>
      </c>
      <c r="D103" s="27">
        <f>2*1000</f>
        <v>2000</v>
      </c>
      <c r="E103" s="28"/>
      <c r="F103" s="27"/>
    </row>
    <row r="104" spans="1:6" s="45" customFormat="1" ht="24" customHeight="1" x14ac:dyDescent="0.2">
      <c r="A104" s="20"/>
      <c r="B104" s="26" t="s">
        <v>8</v>
      </c>
      <c r="C104" s="37" t="s">
        <v>119</v>
      </c>
      <c r="D104" s="27">
        <f>2*1000</f>
        <v>2000</v>
      </c>
      <c r="E104" s="28"/>
      <c r="F104" s="27"/>
    </row>
    <row r="105" spans="1:6" s="45" customFormat="1" ht="24" customHeight="1" x14ac:dyDescent="0.2">
      <c r="A105" s="20"/>
      <c r="B105" s="26" t="s">
        <v>8</v>
      </c>
      <c r="C105" s="37" t="s">
        <v>128</v>
      </c>
      <c r="D105" s="27">
        <f>2*1000</f>
        <v>2000</v>
      </c>
      <c r="E105" s="28"/>
      <c r="F105" s="27"/>
    </row>
    <row r="106" spans="1:6" s="45" customFormat="1" ht="12" x14ac:dyDescent="0.2">
      <c r="A106" s="20"/>
      <c r="B106" s="26" t="s">
        <v>8</v>
      </c>
      <c r="C106" s="37" t="s">
        <v>73</v>
      </c>
      <c r="D106" s="27">
        <f>2*1000</f>
        <v>2000</v>
      </c>
      <c r="E106" s="28"/>
      <c r="F106" s="27"/>
    </row>
    <row r="107" spans="1:6" s="45" customFormat="1" ht="12" customHeight="1" x14ac:dyDescent="0.2">
      <c r="A107" s="20"/>
      <c r="B107" s="26" t="s">
        <v>24</v>
      </c>
      <c r="C107" s="37" t="s">
        <v>74</v>
      </c>
      <c r="D107" s="27"/>
      <c r="E107" s="28"/>
      <c r="F107" s="27">
        <f>3*1000</f>
        <v>3000</v>
      </c>
    </row>
    <row r="108" spans="1:6" s="45" customFormat="1" ht="12" customHeight="1" x14ac:dyDescent="0.2">
      <c r="A108" s="20"/>
      <c r="B108" s="26" t="s">
        <v>63</v>
      </c>
      <c r="C108" s="37" t="s">
        <v>36</v>
      </c>
      <c r="D108" s="27"/>
      <c r="E108" s="28"/>
      <c r="F108" s="27">
        <f>1.5*1000</f>
        <v>1500</v>
      </c>
    </row>
    <row r="109" spans="1:6" s="45" customFormat="1" ht="34.200000000000003" x14ac:dyDescent="0.2">
      <c r="A109" s="20"/>
      <c r="B109" s="26" t="s">
        <v>12</v>
      </c>
      <c r="C109" s="37" t="s">
        <v>129</v>
      </c>
      <c r="D109" s="27">
        <f>2*1000</f>
        <v>2000</v>
      </c>
      <c r="E109" s="28"/>
      <c r="F109" s="27"/>
    </row>
    <row r="110" spans="1:6" s="45" customFormat="1" ht="22.8" x14ac:dyDescent="0.2">
      <c r="A110" s="20"/>
      <c r="B110" s="26" t="s">
        <v>12</v>
      </c>
      <c r="C110" s="37" t="s">
        <v>130</v>
      </c>
      <c r="D110" s="27">
        <f>2*1000</f>
        <v>2000</v>
      </c>
      <c r="E110" s="28"/>
      <c r="F110" s="27"/>
    </row>
    <row r="111" spans="1:6" s="45" customFormat="1" ht="22.8" x14ac:dyDescent="0.2">
      <c r="A111" s="20"/>
      <c r="B111" s="26" t="s">
        <v>12</v>
      </c>
      <c r="C111" s="37" t="s">
        <v>131</v>
      </c>
      <c r="D111" s="27">
        <f>2*1000</f>
        <v>2000</v>
      </c>
      <c r="E111" s="28"/>
      <c r="F111" s="27"/>
    </row>
    <row r="112" spans="1:6" s="45" customFormat="1" ht="12" x14ac:dyDescent="0.2">
      <c r="A112" s="28"/>
      <c r="B112" s="36"/>
      <c r="C112" s="18" t="s">
        <v>22</v>
      </c>
      <c r="D112" s="29">
        <f>SUM(D92:D111)</f>
        <v>20500</v>
      </c>
      <c r="E112" s="28"/>
      <c r="F112" s="29">
        <f>SUM(F92:F111)</f>
        <v>21500</v>
      </c>
    </row>
    <row r="113" spans="1:6" s="45" customFormat="1" ht="12" x14ac:dyDescent="0.2">
      <c r="A113" s="28"/>
      <c r="B113" s="36"/>
      <c r="C113" s="18"/>
      <c r="D113" s="12"/>
      <c r="E113" s="28"/>
      <c r="F113" s="33"/>
    </row>
    <row r="114" spans="1:6" s="45" customFormat="1" ht="12" x14ac:dyDescent="0.2">
      <c r="A114" s="13" t="s">
        <v>75</v>
      </c>
      <c r="B114" s="26"/>
      <c r="C114" s="18"/>
      <c r="D114" s="27"/>
      <c r="E114" s="28"/>
      <c r="F114" s="27"/>
    </row>
    <row r="115" spans="1:6" s="45" customFormat="1" ht="12" x14ac:dyDescent="0.2">
      <c r="A115" s="13"/>
      <c r="B115" s="26" t="s">
        <v>32</v>
      </c>
      <c r="C115" s="32" t="s">
        <v>76</v>
      </c>
      <c r="D115" s="27">
        <f>1.5*1000</f>
        <v>1500</v>
      </c>
      <c r="E115" s="28"/>
      <c r="F115" s="27"/>
    </row>
    <row r="116" spans="1:6" s="45" customFormat="1" ht="22.8" x14ac:dyDescent="0.2">
      <c r="A116" s="13"/>
      <c r="B116" s="26" t="s">
        <v>12</v>
      </c>
      <c r="C116" s="32" t="s">
        <v>132</v>
      </c>
      <c r="D116" s="27">
        <f>1*1000</f>
        <v>1000</v>
      </c>
      <c r="E116" s="28"/>
      <c r="F116" s="27"/>
    </row>
    <row r="117" spans="1:6" s="45" customFormat="1" ht="12" x14ac:dyDescent="0.2">
      <c r="A117" s="28"/>
      <c r="B117" s="26"/>
      <c r="C117" s="18" t="s">
        <v>22</v>
      </c>
      <c r="D117" s="29">
        <f>SUM(D115:D116)</f>
        <v>2500</v>
      </c>
      <c r="E117" s="28"/>
      <c r="F117" s="27"/>
    </row>
    <row r="118" spans="1:6" s="45" customFormat="1" ht="12" x14ac:dyDescent="0.2">
      <c r="A118" s="28"/>
      <c r="B118" s="26"/>
      <c r="C118" s="18"/>
      <c r="D118" s="27"/>
      <c r="E118" s="28"/>
      <c r="F118" s="27"/>
    </row>
    <row r="119" spans="1:6" s="45" customFormat="1" ht="12" x14ac:dyDescent="0.2">
      <c r="A119" s="13" t="s">
        <v>28</v>
      </c>
      <c r="B119" s="26"/>
      <c r="C119" s="18"/>
      <c r="D119" s="27"/>
      <c r="E119" s="28"/>
      <c r="F119" s="27"/>
    </row>
    <row r="120" spans="1:6" s="45" customFormat="1" ht="22.8" x14ac:dyDescent="0.2">
      <c r="A120" s="28"/>
      <c r="B120" s="37" t="s">
        <v>3</v>
      </c>
      <c r="C120" s="37" t="s">
        <v>133</v>
      </c>
      <c r="D120" s="27">
        <f t="shared" ref="D120:D126" si="0">0.5*1000</f>
        <v>500</v>
      </c>
      <c r="E120" s="28"/>
      <c r="F120" s="27"/>
    </row>
    <row r="121" spans="1:6" s="45" customFormat="1" ht="22.8" x14ac:dyDescent="0.2">
      <c r="A121" s="28"/>
      <c r="B121" s="37" t="s">
        <v>77</v>
      </c>
      <c r="C121" s="37" t="s">
        <v>134</v>
      </c>
      <c r="D121" s="27">
        <f t="shared" si="0"/>
        <v>500</v>
      </c>
      <c r="E121" s="28"/>
      <c r="F121" s="27"/>
    </row>
    <row r="122" spans="1:6" s="45" customFormat="1" x14ac:dyDescent="0.2">
      <c r="A122" s="28"/>
      <c r="B122" s="37" t="s">
        <v>77</v>
      </c>
      <c r="C122" s="37" t="s">
        <v>78</v>
      </c>
      <c r="D122" s="27">
        <f t="shared" si="0"/>
        <v>500</v>
      </c>
      <c r="E122" s="28"/>
      <c r="F122" s="27"/>
    </row>
    <row r="123" spans="1:6" s="45" customFormat="1" ht="22.8" x14ac:dyDescent="0.2">
      <c r="A123" s="28"/>
      <c r="B123" s="37" t="s">
        <v>4</v>
      </c>
      <c r="C123" s="37" t="s">
        <v>135</v>
      </c>
      <c r="D123" s="27">
        <f t="shared" si="0"/>
        <v>500</v>
      </c>
      <c r="E123" s="28"/>
      <c r="F123" s="27"/>
    </row>
    <row r="124" spans="1:6" s="45" customFormat="1" x14ac:dyDescent="0.2">
      <c r="A124" s="28"/>
      <c r="B124" s="37" t="s">
        <v>7</v>
      </c>
      <c r="C124" s="37" t="s">
        <v>79</v>
      </c>
      <c r="D124" s="27">
        <f t="shared" si="0"/>
        <v>500</v>
      </c>
      <c r="E124" s="28"/>
      <c r="F124" s="27"/>
    </row>
    <row r="125" spans="1:6" s="45" customFormat="1" ht="34.200000000000003" x14ac:dyDescent="0.2">
      <c r="A125" s="28"/>
      <c r="B125" s="37" t="s">
        <v>80</v>
      </c>
      <c r="C125" s="37" t="s">
        <v>136</v>
      </c>
      <c r="D125" s="27">
        <f t="shared" si="0"/>
        <v>500</v>
      </c>
      <c r="E125" s="28"/>
      <c r="F125" s="27"/>
    </row>
    <row r="126" spans="1:6" s="45" customFormat="1" x14ac:dyDescent="0.2">
      <c r="A126" s="28"/>
      <c r="B126" s="37" t="s">
        <v>54</v>
      </c>
      <c r="C126" s="37" t="s">
        <v>55</v>
      </c>
      <c r="D126" s="27">
        <f t="shared" si="0"/>
        <v>500</v>
      </c>
      <c r="E126" s="28"/>
      <c r="F126" s="27"/>
    </row>
    <row r="127" spans="1:6" s="45" customFormat="1" ht="22.8" x14ac:dyDescent="0.2">
      <c r="A127" s="28"/>
      <c r="B127" s="37" t="s">
        <v>23</v>
      </c>
      <c r="C127" s="37" t="s">
        <v>43</v>
      </c>
      <c r="D127" s="27">
        <f>0.75*1000</f>
        <v>750</v>
      </c>
      <c r="E127" s="28"/>
      <c r="F127" s="27"/>
    </row>
    <row r="128" spans="1:6" s="45" customFormat="1" ht="24" customHeight="1" x14ac:dyDescent="0.2">
      <c r="A128" s="28"/>
      <c r="B128" s="37" t="s">
        <v>12</v>
      </c>
      <c r="C128" s="37" t="s">
        <v>137</v>
      </c>
      <c r="D128" s="27">
        <f>0.5*1000</f>
        <v>500</v>
      </c>
      <c r="E128" s="28"/>
      <c r="F128" s="27"/>
    </row>
    <row r="129" spans="1:6" s="45" customFormat="1" ht="34.200000000000003" x14ac:dyDescent="0.2">
      <c r="A129" s="28"/>
      <c r="B129" s="37" t="s">
        <v>12</v>
      </c>
      <c r="C129" s="38" t="s">
        <v>138</v>
      </c>
      <c r="D129" s="27">
        <f>0.7*1000</f>
        <v>700</v>
      </c>
      <c r="E129" s="28"/>
      <c r="F129" s="27"/>
    </row>
    <row r="130" spans="1:6" s="45" customFormat="1" ht="22.8" x14ac:dyDescent="0.2">
      <c r="A130" s="28"/>
      <c r="B130" s="37" t="s">
        <v>12</v>
      </c>
      <c r="C130" s="37" t="s">
        <v>139</v>
      </c>
      <c r="D130" s="27">
        <f>1*1000</f>
        <v>1000</v>
      </c>
      <c r="E130" s="28"/>
      <c r="F130" s="27"/>
    </row>
    <row r="131" spans="1:6" s="45" customFormat="1" ht="36" customHeight="1" x14ac:dyDescent="0.2">
      <c r="A131" s="28"/>
      <c r="B131" s="37" t="s">
        <v>12</v>
      </c>
      <c r="C131" s="37" t="s">
        <v>140</v>
      </c>
      <c r="D131" s="27">
        <f>0.225*1000</f>
        <v>225</v>
      </c>
      <c r="E131" s="28"/>
      <c r="F131" s="27"/>
    </row>
    <row r="132" spans="1:6" s="45" customFormat="1" ht="22.8" x14ac:dyDescent="0.2">
      <c r="A132" s="28"/>
      <c r="B132" s="37" t="s">
        <v>12</v>
      </c>
      <c r="C132" s="37" t="s">
        <v>141</v>
      </c>
      <c r="D132" s="27">
        <f>0.365*1000</f>
        <v>365</v>
      </c>
      <c r="E132" s="28"/>
      <c r="F132" s="27"/>
    </row>
    <row r="133" spans="1:6" s="45" customFormat="1" ht="22.8" x14ac:dyDescent="0.2">
      <c r="A133" s="28"/>
      <c r="B133" s="37" t="s">
        <v>12</v>
      </c>
      <c r="C133" s="37" t="s">
        <v>142</v>
      </c>
      <c r="D133" s="27">
        <f>0.5*1000</f>
        <v>500</v>
      </c>
      <c r="E133" s="28"/>
      <c r="F133" s="27"/>
    </row>
    <row r="134" spans="1:6" s="45" customFormat="1" ht="34.200000000000003" x14ac:dyDescent="0.2">
      <c r="A134" s="28"/>
      <c r="B134" s="37" t="s">
        <v>12</v>
      </c>
      <c r="C134" s="37" t="s">
        <v>129</v>
      </c>
      <c r="D134" s="27">
        <f>0.72*1000</f>
        <v>720</v>
      </c>
      <c r="E134" s="28"/>
      <c r="F134" s="27"/>
    </row>
    <row r="135" spans="1:6" s="45" customFormat="1" x14ac:dyDescent="0.2">
      <c r="A135" s="28"/>
      <c r="B135" s="37" t="s">
        <v>12</v>
      </c>
      <c r="C135" s="37" t="s">
        <v>81</v>
      </c>
      <c r="D135" s="27">
        <f>0.75*1000</f>
        <v>750</v>
      </c>
      <c r="E135" s="28"/>
      <c r="F135" s="27"/>
    </row>
    <row r="136" spans="1:6" s="45" customFormat="1" x14ac:dyDescent="0.2">
      <c r="A136" s="28"/>
      <c r="B136" s="37" t="s">
        <v>12</v>
      </c>
      <c r="C136" s="37" t="s">
        <v>82</v>
      </c>
      <c r="D136" s="27">
        <f>0.75*1000</f>
        <v>750</v>
      </c>
      <c r="E136" s="28"/>
      <c r="F136" s="27"/>
    </row>
    <row r="137" spans="1:6" s="45" customFormat="1" ht="22.8" x14ac:dyDescent="0.2">
      <c r="A137" s="28"/>
      <c r="B137" s="37" t="s">
        <v>12</v>
      </c>
      <c r="C137" s="37" t="s">
        <v>143</v>
      </c>
      <c r="D137" s="27">
        <f>0.5*1000</f>
        <v>500</v>
      </c>
      <c r="E137" s="28"/>
      <c r="F137" s="27"/>
    </row>
    <row r="138" spans="1:6" s="45" customFormat="1" x14ac:dyDescent="0.2">
      <c r="A138" s="28"/>
      <c r="B138" s="37" t="s">
        <v>12</v>
      </c>
      <c r="C138" s="37" t="s">
        <v>83</v>
      </c>
      <c r="D138" s="27">
        <f>0.5*1000</f>
        <v>500</v>
      </c>
      <c r="E138" s="28"/>
      <c r="F138" s="27"/>
    </row>
    <row r="139" spans="1:6" s="45" customFormat="1" ht="12" x14ac:dyDescent="0.2">
      <c r="A139" s="28"/>
      <c r="B139" s="36"/>
      <c r="C139" s="18" t="s">
        <v>22</v>
      </c>
      <c r="D139" s="29">
        <f>SUM(D120:D138)</f>
        <v>10760</v>
      </c>
      <c r="E139" s="28"/>
      <c r="F139" s="33"/>
    </row>
    <row r="140" spans="1:6" s="45" customFormat="1" ht="12" x14ac:dyDescent="0.2">
      <c r="A140" s="28"/>
      <c r="B140" s="37"/>
      <c r="C140" s="37"/>
      <c r="D140" s="27"/>
      <c r="E140" s="25"/>
      <c r="F140" s="31"/>
    </row>
    <row r="141" spans="1:6" s="45" customFormat="1" ht="12" x14ac:dyDescent="0.2">
      <c r="A141" s="20" t="s">
        <v>19</v>
      </c>
      <c r="B141" s="36"/>
      <c r="C141" s="37"/>
      <c r="D141" s="27"/>
      <c r="E141" s="25"/>
      <c r="F141" s="31"/>
    </row>
    <row r="142" spans="1:6" s="45" customFormat="1" ht="22.8" x14ac:dyDescent="0.2">
      <c r="A142" s="20"/>
      <c r="B142" s="36" t="s">
        <v>12</v>
      </c>
      <c r="C142" s="37" t="s">
        <v>144</v>
      </c>
      <c r="D142" s="27">
        <f>0.4*1000</f>
        <v>400</v>
      </c>
      <c r="E142" s="25"/>
      <c r="F142" s="31"/>
    </row>
    <row r="143" spans="1:6" s="45" customFormat="1" ht="12" x14ac:dyDescent="0.2">
      <c r="A143" s="28"/>
      <c r="B143" s="36"/>
      <c r="C143" s="18" t="s">
        <v>22</v>
      </c>
      <c r="D143" s="29">
        <f>SUM(D142)</f>
        <v>400</v>
      </c>
      <c r="E143" s="25"/>
      <c r="F143" s="31"/>
    </row>
    <row r="144" spans="1:6" s="45" customFormat="1" ht="12" x14ac:dyDescent="0.2">
      <c r="A144" s="28"/>
      <c r="B144" s="36"/>
      <c r="C144" s="18"/>
      <c r="D144" s="12"/>
      <c r="E144" s="25"/>
      <c r="F144" s="31"/>
    </row>
    <row r="145" spans="1:6" s="45" customFormat="1" ht="24" customHeight="1" x14ac:dyDescent="0.2">
      <c r="A145" s="56" t="s">
        <v>183</v>
      </c>
      <c r="B145" s="56"/>
      <c r="C145" s="56"/>
      <c r="D145" s="27"/>
      <c r="E145" s="28"/>
      <c r="F145" s="27"/>
    </row>
    <row r="146" spans="1:6" s="45" customFormat="1" ht="22.8" x14ac:dyDescent="0.2">
      <c r="A146" s="13"/>
      <c r="B146" s="28" t="s">
        <v>48</v>
      </c>
      <c r="C146" s="32" t="s">
        <v>145</v>
      </c>
      <c r="D146" s="27">
        <f>0.3*1000</f>
        <v>300</v>
      </c>
      <c r="E146" s="28"/>
      <c r="F146" s="12"/>
    </row>
    <row r="147" spans="1:6" s="45" customFormat="1" ht="12" x14ac:dyDescent="0.2">
      <c r="A147" s="13"/>
      <c r="B147" s="28"/>
      <c r="C147" s="18" t="s">
        <v>22</v>
      </c>
      <c r="D147" s="29">
        <f>SUM(D145:D146)</f>
        <v>300</v>
      </c>
      <c r="E147" s="28"/>
      <c r="F147" s="12"/>
    </row>
    <row r="148" spans="1:6" s="45" customFormat="1" ht="12" x14ac:dyDescent="0.2">
      <c r="A148" s="28"/>
      <c r="B148" s="36"/>
      <c r="C148" s="18"/>
      <c r="D148" s="12"/>
      <c r="E148" s="25"/>
      <c r="F148" s="31"/>
    </row>
    <row r="149" spans="1:6" s="45" customFormat="1" ht="12" x14ac:dyDescent="0.2">
      <c r="A149" s="13" t="s">
        <v>84</v>
      </c>
      <c r="B149" s="28"/>
      <c r="C149" s="26"/>
      <c r="D149" s="16">
        <f>D153+D157+D167+D171+D188+D192+D196</f>
        <v>26690</v>
      </c>
      <c r="E149" s="16"/>
      <c r="F149" s="16">
        <f>F153+F157+F167+F171+F188+F192+F196</f>
        <v>300</v>
      </c>
    </row>
    <row r="150" spans="1:6" s="45" customFormat="1" ht="12" x14ac:dyDescent="0.2">
      <c r="A150" s="13" t="s">
        <v>85</v>
      </c>
      <c r="B150" s="28"/>
      <c r="C150" s="26"/>
      <c r="D150" s="27"/>
      <c r="E150" s="28"/>
      <c r="F150" s="27"/>
    </row>
    <row r="151" spans="1:6" s="45" customFormat="1" ht="22.8" x14ac:dyDescent="0.2">
      <c r="A151" s="28"/>
      <c r="B151" s="26" t="s">
        <v>12</v>
      </c>
      <c r="C151" s="26" t="s">
        <v>121</v>
      </c>
      <c r="D151" s="27">
        <f>2.5*1000</f>
        <v>2500</v>
      </c>
      <c r="E151" s="28"/>
      <c r="F151" s="27"/>
    </row>
    <row r="152" spans="1:6" s="45" customFormat="1" ht="22.8" x14ac:dyDescent="0.2">
      <c r="A152" s="28"/>
      <c r="B152" s="26" t="s">
        <v>12</v>
      </c>
      <c r="C152" s="26" t="s">
        <v>146</v>
      </c>
      <c r="D152" s="27">
        <f>0.95*1000</f>
        <v>950</v>
      </c>
      <c r="E152" s="28"/>
      <c r="F152" s="27"/>
    </row>
    <row r="153" spans="1:6" s="45" customFormat="1" ht="12" x14ac:dyDescent="0.2">
      <c r="A153" s="28"/>
      <c r="B153" s="26"/>
      <c r="C153" s="18" t="s">
        <v>22</v>
      </c>
      <c r="D153" s="29">
        <f>SUM(D151:D152)</f>
        <v>3450</v>
      </c>
      <c r="E153" s="28"/>
      <c r="F153" s="27"/>
    </row>
    <row r="154" spans="1:6" s="45" customFormat="1" ht="12" x14ac:dyDescent="0.2">
      <c r="A154" s="28"/>
      <c r="B154" s="26"/>
      <c r="C154" s="18"/>
      <c r="D154" s="27"/>
      <c r="E154" s="28"/>
      <c r="F154" s="27"/>
    </row>
    <row r="155" spans="1:6" s="45" customFormat="1" ht="24" customHeight="1" x14ac:dyDescent="0.2">
      <c r="A155" s="56" t="s">
        <v>184</v>
      </c>
      <c r="B155" s="56"/>
      <c r="C155" s="56"/>
      <c r="D155" s="27"/>
      <c r="E155" s="28"/>
      <c r="F155" s="27"/>
    </row>
    <row r="156" spans="1:6" s="45" customFormat="1" ht="22.8" x14ac:dyDescent="0.2">
      <c r="A156" s="28"/>
      <c r="B156" s="26" t="s">
        <v>12</v>
      </c>
      <c r="C156" s="26" t="s">
        <v>41</v>
      </c>
      <c r="D156" s="27">
        <f>2*1000</f>
        <v>2000</v>
      </c>
      <c r="E156" s="28"/>
      <c r="F156" s="27"/>
    </row>
    <row r="157" spans="1:6" s="45" customFormat="1" ht="12" x14ac:dyDescent="0.2">
      <c r="A157" s="28"/>
      <c r="B157" s="26"/>
      <c r="C157" s="18" t="s">
        <v>22</v>
      </c>
      <c r="D157" s="29">
        <f>SUM(D156)</f>
        <v>2000</v>
      </c>
      <c r="E157" s="28"/>
      <c r="F157" s="27"/>
    </row>
    <row r="158" spans="1:6" s="45" customFormat="1" ht="12" x14ac:dyDescent="0.2">
      <c r="A158" s="28"/>
      <c r="B158" s="26"/>
      <c r="C158" s="18"/>
      <c r="D158" s="27"/>
      <c r="E158" s="28"/>
      <c r="F158" s="27"/>
    </row>
    <row r="159" spans="1:6" s="45" customFormat="1" ht="12" x14ac:dyDescent="0.2">
      <c r="A159" s="47" t="s">
        <v>86</v>
      </c>
      <c r="B159" s="49"/>
      <c r="C159" s="26"/>
      <c r="D159" s="27"/>
      <c r="E159" s="28"/>
      <c r="F159" s="27"/>
    </row>
    <row r="160" spans="1:6" s="45" customFormat="1" ht="22.8" x14ac:dyDescent="0.2">
      <c r="A160" s="13"/>
      <c r="B160" s="28" t="s">
        <v>33</v>
      </c>
      <c r="C160" s="26" t="s">
        <v>147</v>
      </c>
      <c r="D160" s="27">
        <f>1*1000</f>
        <v>1000</v>
      </c>
      <c r="E160" s="28"/>
      <c r="F160" s="27"/>
    </row>
    <row r="161" spans="1:6" s="45" customFormat="1" ht="22.8" x14ac:dyDescent="0.2">
      <c r="A161" s="13"/>
      <c r="B161" s="26" t="s">
        <v>44</v>
      </c>
      <c r="C161" s="26" t="s">
        <v>148</v>
      </c>
      <c r="D161" s="27">
        <f>0.225*1000</f>
        <v>225</v>
      </c>
      <c r="E161" s="28"/>
      <c r="F161" s="27"/>
    </row>
    <row r="162" spans="1:6" s="45" customFormat="1" ht="22.8" x14ac:dyDescent="0.2">
      <c r="A162" s="13"/>
      <c r="B162" s="28" t="s">
        <v>77</v>
      </c>
      <c r="C162" s="26" t="s">
        <v>134</v>
      </c>
      <c r="D162" s="27">
        <f>0.5*1000</f>
        <v>500</v>
      </c>
      <c r="E162" s="28"/>
      <c r="F162" s="27"/>
    </row>
    <row r="163" spans="1:6" s="45" customFormat="1" ht="48" customHeight="1" x14ac:dyDescent="0.2">
      <c r="A163" s="13"/>
      <c r="B163" s="26" t="s">
        <v>12</v>
      </c>
      <c r="C163" s="26" t="s">
        <v>112</v>
      </c>
      <c r="D163" s="27">
        <f>2*1000</f>
        <v>2000</v>
      </c>
      <c r="E163" s="28"/>
      <c r="F163" s="27"/>
    </row>
    <row r="164" spans="1:6" s="45" customFormat="1" ht="24" customHeight="1" x14ac:dyDescent="0.2">
      <c r="A164" s="13"/>
      <c r="B164" s="26" t="s">
        <v>12</v>
      </c>
      <c r="C164" s="26" t="s">
        <v>149</v>
      </c>
      <c r="D164" s="27">
        <f>2*1000</f>
        <v>2000</v>
      </c>
      <c r="E164" s="28"/>
      <c r="F164" s="27"/>
    </row>
    <row r="165" spans="1:6" s="45" customFormat="1" ht="22.8" x14ac:dyDescent="0.2">
      <c r="A165" s="13"/>
      <c r="B165" s="26" t="s">
        <v>12</v>
      </c>
      <c r="C165" s="26" t="s">
        <v>150</v>
      </c>
      <c r="D165" s="27">
        <f>2*1000</f>
        <v>2000</v>
      </c>
      <c r="E165" s="28"/>
      <c r="F165" s="27"/>
    </row>
    <row r="166" spans="1:6" s="45" customFormat="1" ht="22.8" x14ac:dyDescent="0.2">
      <c r="A166" s="28"/>
      <c r="B166" s="26" t="s">
        <v>12</v>
      </c>
      <c r="C166" s="26" t="s">
        <v>151</v>
      </c>
      <c r="D166" s="27">
        <f>1.5*1000</f>
        <v>1500</v>
      </c>
      <c r="E166" s="28"/>
      <c r="F166" s="27"/>
    </row>
    <row r="167" spans="1:6" s="45" customFormat="1" ht="12" x14ac:dyDescent="0.2">
      <c r="A167" s="28"/>
      <c r="B167" s="26"/>
      <c r="C167" s="18" t="s">
        <v>22</v>
      </c>
      <c r="D167" s="29">
        <f>SUM(D160:D166)</f>
        <v>9225</v>
      </c>
      <c r="E167" s="28"/>
      <c r="F167" s="27"/>
    </row>
    <row r="168" spans="1:6" s="45" customFormat="1" ht="12" x14ac:dyDescent="0.2">
      <c r="A168" s="13"/>
      <c r="B168" s="26"/>
      <c r="C168" s="18"/>
      <c r="D168" s="27"/>
      <c r="E168" s="28"/>
      <c r="F168" s="27"/>
    </row>
    <row r="169" spans="1:6" s="45" customFormat="1" ht="24" customHeight="1" x14ac:dyDescent="0.2">
      <c r="A169" s="56" t="s">
        <v>182</v>
      </c>
      <c r="B169" s="56"/>
      <c r="C169" s="56"/>
      <c r="D169" s="27"/>
      <c r="E169" s="28"/>
      <c r="F169" s="27"/>
    </row>
    <row r="170" spans="1:6" s="45" customFormat="1" ht="24" customHeight="1" x14ac:dyDescent="0.2">
      <c r="A170" s="28"/>
      <c r="B170" s="26" t="s">
        <v>12</v>
      </c>
      <c r="C170" s="26" t="s">
        <v>152</v>
      </c>
      <c r="D170" s="27">
        <f>1*1000</f>
        <v>1000</v>
      </c>
      <c r="E170" s="28"/>
      <c r="F170" s="27"/>
    </row>
    <row r="171" spans="1:6" s="45" customFormat="1" ht="12" x14ac:dyDescent="0.2">
      <c r="A171" s="28"/>
      <c r="B171" s="26"/>
      <c r="C171" s="18" t="s">
        <v>22</v>
      </c>
      <c r="D171" s="29">
        <f>SUM(D170)</f>
        <v>1000</v>
      </c>
      <c r="E171" s="28"/>
      <c r="F171" s="27"/>
    </row>
    <row r="172" spans="1:6" s="45" customFormat="1" ht="12" x14ac:dyDescent="0.2">
      <c r="A172" s="28"/>
      <c r="B172" s="26"/>
      <c r="C172" s="18"/>
      <c r="D172" s="27"/>
      <c r="E172" s="28"/>
      <c r="F172" s="27"/>
    </row>
    <row r="173" spans="1:6" s="45" customFormat="1" ht="12" x14ac:dyDescent="0.2">
      <c r="A173" s="13" t="s">
        <v>87</v>
      </c>
      <c r="B173" s="19"/>
      <c r="C173" s="26"/>
      <c r="D173" s="27"/>
      <c r="E173" s="28"/>
      <c r="F173" s="27"/>
    </row>
    <row r="174" spans="1:6" s="45" customFormat="1" ht="22.8" x14ac:dyDescent="0.2">
      <c r="A174" s="28"/>
      <c r="B174" s="26" t="s">
        <v>4</v>
      </c>
      <c r="C174" s="26" t="s">
        <v>42</v>
      </c>
      <c r="D174" s="27">
        <f>0.6*1000</f>
        <v>600</v>
      </c>
      <c r="E174" s="28"/>
      <c r="F174" s="27"/>
    </row>
    <row r="175" spans="1:6" s="45" customFormat="1" ht="22.8" x14ac:dyDescent="0.2">
      <c r="A175" s="28"/>
      <c r="B175" s="26" t="s">
        <v>18</v>
      </c>
      <c r="C175" s="26" t="s">
        <v>153</v>
      </c>
      <c r="D175" s="27">
        <f>0.65*1000</f>
        <v>650</v>
      </c>
      <c r="E175" s="28"/>
      <c r="F175" s="27"/>
    </row>
    <row r="176" spans="1:6" s="45" customFormat="1" ht="22.8" x14ac:dyDescent="0.2">
      <c r="A176" s="28"/>
      <c r="B176" s="26" t="s">
        <v>5</v>
      </c>
      <c r="C176" s="26" t="s">
        <v>154</v>
      </c>
      <c r="D176" s="27">
        <f>0.4*1000</f>
        <v>400</v>
      </c>
      <c r="E176" s="28"/>
      <c r="F176" s="27"/>
    </row>
    <row r="177" spans="1:6" s="45" customFormat="1" ht="24" customHeight="1" x14ac:dyDescent="0.2">
      <c r="A177" s="28"/>
      <c r="B177" s="26" t="s">
        <v>8</v>
      </c>
      <c r="C177" s="26" t="s">
        <v>155</v>
      </c>
      <c r="D177" s="27">
        <f>0.715*1000</f>
        <v>715</v>
      </c>
      <c r="E177" s="28"/>
      <c r="F177" s="27"/>
    </row>
    <row r="178" spans="1:6" s="45" customFormat="1" ht="24" customHeight="1" x14ac:dyDescent="0.2">
      <c r="A178" s="28"/>
      <c r="B178" s="26" t="s">
        <v>23</v>
      </c>
      <c r="C178" s="26" t="s">
        <v>156</v>
      </c>
      <c r="D178" s="25"/>
      <c r="E178" s="28"/>
      <c r="F178" s="27">
        <f>0.3*1000</f>
        <v>300</v>
      </c>
    </row>
    <row r="179" spans="1:6" s="45" customFormat="1" ht="22.8" x14ac:dyDescent="0.2">
      <c r="A179" s="28"/>
      <c r="B179" s="26" t="s">
        <v>23</v>
      </c>
      <c r="C179" s="26" t="s">
        <v>157</v>
      </c>
      <c r="D179" s="27">
        <f>0.5*1000</f>
        <v>500</v>
      </c>
      <c r="E179" s="28"/>
      <c r="F179" s="27"/>
    </row>
    <row r="180" spans="1:6" s="45" customFormat="1" x14ac:dyDescent="0.2">
      <c r="A180" s="28"/>
      <c r="B180" s="26" t="s">
        <v>12</v>
      </c>
      <c r="C180" s="26" t="s">
        <v>88</v>
      </c>
      <c r="D180" s="27">
        <f>1.5*1000</f>
        <v>1500</v>
      </c>
      <c r="E180" s="28"/>
      <c r="F180" s="27"/>
    </row>
    <row r="181" spans="1:6" s="45" customFormat="1" ht="34.200000000000003" x14ac:dyDescent="0.2">
      <c r="A181" s="28"/>
      <c r="B181" s="26" t="s">
        <v>12</v>
      </c>
      <c r="C181" s="26" t="s">
        <v>158</v>
      </c>
      <c r="D181" s="27">
        <f>0.5*1000</f>
        <v>500</v>
      </c>
      <c r="E181" s="28"/>
      <c r="F181" s="27"/>
    </row>
    <row r="182" spans="1:6" s="45" customFormat="1" ht="22.8" x14ac:dyDescent="0.2">
      <c r="A182" s="28"/>
      <c r="B182" s="26" t="s">
        <v>12</v>
      </c>
      <c r="C182" s="26" t="s">
        <v>159</v>
      </c>
      <c r="D182" s="27">
        <f>0.5*1000</f>
        <v>500</v>
      </c>
      <c r="E182" s="28"/>
      <c r="F182" s="27"/>
    </row>
    <row r="183" spans="1:6" s="45" customFormat="1" ht="22.8" x14ac:dyDescent="0.2">
      <c r="A183" s="28"/>
      <c r="B183" s="26" t="s">
        <v>12</v>
      </c>
      <c r="C183" s="26" t="s">
        <v>160</v>
      </c>
      <c r="D183" s="27">
        <f>0.75*1000</f>
        <v>750</v>
      </c>
      <c r="E183" s="28"/>
      <c r="F183" s="27"/>
    </row>
    <row r="184" spans="1:6" s="45" customFormat="1" ht="22.8" x14ac:dyDescent="0.2">
      <c r="A184" s="28"/>
      <c r="B184" s="26" t="s">
        <v>12</v>
      </c>
      <c r="C184" s="26" t="s">
        <v>161</v>
      </c>
      <c r="D184" s="27">
        <f>0.45*1000</f>
        <v>450</v>
      </c>
      <c r="E184" s="28"/>
      <c r="F184" s="27"/>
    </row>
    <row r="185" spans="1:6" s="45" customFormat="1" ht="22.8" x14ac:dyDescent="0.2">
      <c r="A185" s="28"/>
      <c r="B185" s="26" t="s">
        <v>12</v>
      </c>
      <c r="C185" s="26" t="s">
        <v>162</v>
      </c>
      <c r="D185" s="27">
        <f>0.25*1000</f>
        <v>250</v>
      </c>
      <c r="E185" s="28"/>
      <c r="F185" s="27"/>
    </row>
    <row r="186" spans="1:6" s="45" customFormat="1" ht="48" customHeight="1" x14ac:dyDescent="0.2">
      <c r="A186" s="28"/>
      <c r="B186" s="26" t="s">
        <v>12</v>
      </c>
      <c r="C186" s="26" t="s">
        <v>163</v>
      </c>
      <c r="D186" s="27">
        <f>2*1000</f>
        <v>2000</v>
      </c>
      <c r="E186" s="28"/>
      <c r="F186" s="27"/>
    </row>
    <row r="187" spans="1:6" s="45" customFormat="1" x14ac:dyDescent="0.2">
      <c r="A187" s="28"/>
      <c r="B187" s="26" t="s">
        <v>12</v>
      </c>
      <c r="C187" s="26" t="s">
        <v>89</v>
      </c>
      <c r="D187" s="27">
        <f>1*1000</f>
        <v>1000</v>
      </c>
      <c r="E187" s="28"/>
      <c r="F187" s="27"/>
    </row>
    <row r="188" spans="1:6" s="45" customFormat="1" ht="12" x14ac:dyDescent="0.2">
      <c r="A188" s="28"/>
      <c r="B188" s="26"/>
      <c r="C188" s="18" t="s">
        <v>22</v>
      </c>
      <c r="D188" s="29">
        <f>SUM(D174:D187)</f>
        <v>9815</v>
      </c>
      <c r="E188" s="28"/>
      <c r="F188" s="29">
        <f>SUM(F174:F187)</f>
        <v>300</v>
      </c>
    </row>
    <row r="189" spans="1:6" s="45" customFormat="1" ht="12" x14ac:dyDescent="0.2">
      <c r="A189" s="28"/>
      <c r="B189" s="26"/>
      <c r="C189" s="18"/>
      <c r="D189" s="12"/>
      <c r="E189" s="28"/>
      <c r="F189" s="12"/>
    </row>
    <row r="190" spans="1:6" s="45" customFormat="1" ht="24" customHeight="1" x14ac:dyDescent="0.2">
      <c r="A190" s="56" t="s">
        <v>181</v>
      </c>
      <c r="B190" s="56"/>
      <c r="C190" s="56"/>
      <c r="D190" s="27"/>
      <c r="E190" s="28"/>
      <c r="F190" s="27"/>
    </row>
    <row r="191" spans="1:6" s="45" customFormat="1" ht="22.8" x14ac:dyDescent="0.2">
      <c r="A191" s="28"/>
      <c r="B191" s="26" t="s">
        <v>12</v>
      </c>
      <c r="C191" s="26" t="s">
        <v>41</v>
      </c>
      <c r="D191" s="27">
        <f>1*1000</f>
        <v>1000</v>
      </c>
      <c r="E191" s="28"/>
      <c r="F191" s="27"/>
    </row>
    <row r="192" spans="1:6" s="45" customFormat="1" ht="12" x14ac:dyDescent="0.2">
      <c r="A192" s="28"/>
      <c r="B192" s="26"/>
      <c r="C192" s="18" t="s">
        <v>22</v>
      </c>
      <c r="D192" s="29">
        <f>SUM(D191)</f>
        <v>1000</v>
      </c>
      <c r="E192" s="28"/>
      <c r="F192" s="27"/>
    </row>
    <row r="193" spans="1:6" s="45" customFormat="1" ht="12" x14ac:dyDescent="0.2">
      <c r="A193" s="13" t="s">
        <v>34</v>
      </c>
      <c r="B193" s="21"/>
      <c r="C193" s="21"/>
      <c r="D193" s="22"/>
      <c r="E193" s="13"/>
      <c r="F193" s="22"/>
    </row>
    <row r="194" spans="1:6" s="45" customFormat="1" ht="22.8" x14ac:dyDescent="0.2">
      <c r="A194" s="13"/>
      <c r="B194" s="26" t="s">
        <v>44</v>
      </c>
      <c r="C194" s="26" t="s">
        <v>164</v>
      </c>
      <c r="D194" s="27">
        <f>0.1*1000</f>
        <v>100</v>
      </c>
      <c r="E194" s="13"/>
      <c r="F194" s="22"/>
    </row>
    <row r="195" spans="1:6" s="45" customFormat="1" ht="34.200000000000003" x14ac:dyDescent="0.2">
      <c r="A195" s="28"/>
      <c r="B195" s="26" t="s">
        <v>12</v>
      </c>
      <c r="C195" s="26" t="s">
        <v>116</v>
      </c>
      <c r="D195" s="27">
        <f>0.1*1000</f>
        <v>100</v>
      </c>
      <c r="E195" s="28"/>
      <c r="F195" s="12"/>
    </row>
    <row r="196" spans="1:6" s="45" customFormat="1" ht="12" x14ac:dyDescent="0.2">
      <c r="A196" s="28"/>
      <c r="B196" s="26"/>
      <c r="C196" s="18" t="s">
        <v>22</v>
      </c>
      <c r="D196" s="29">
        <f>SUM(D194:D195)</f>
        <v>200</v>
      </c>
      <c r="E196" s="28"/>
      <c r="F196" s="12"/>
    </row>
    <row r="197" spans="1:6" s="45" customFormat="1" ht="12" x14ac:dyDescent="0.2">
      <c r="A197" s="28"/>
      <c r="B197" s="26"/>
      <c r="C197" s="18"/>
      <c r="D197" s="27"/>
      <c r="E197" s="28"/>
      <c r="F197" s="27"/>
    </row>
    <row r="198" spans="1:6" s="45" customFormat="1" ht="13.2" x14ac:dyDescent="0.2">
      <c r="A198" s="13" t="s">
        <v>186</v>
      </c>
      <c r="B198" s="28"/>
      <c r="C198" s="26"/>
      <c r="D198" s="16">
        <f>D201+D205+D210+D222+D228+D235+D239+D244</f>
        <v>38975.616000000002</v>
      </c>
      <c r="E198" s="16"/>
      <c r="F198" s="16">
        <f>F201+F205+F210+F222+F228+F235+F239+F244</f>
        <v>73000.733999999997</v>
      </c>
    </row>
    <row r="199" spans="1:6" s="45" customFormat="1" ht="12" x14ac:dyDescent="0.2">
      <c r="A199" s="20" t="s">
        <v>90</v>
      </c>
      <c r="B199" s="36"/>
      <c r="C199" s="37"/>
      <c r="D199" s="27"/>
      <c r="E199" s="36"/>
      <c r="F199" s="27"/>
    </row>
    <row r="200" spans="1:6" s="45" customFormat="1" ht="22.8" x14ac:dyDescent="0.2">
      <c r="A200" s="20"/>
      <c r="B200" s="26" t="s">
        <v>12</v>
      </c>
      <c r="C200" s="37" t="s">
        <v>40</v>
      </c>
      <c r="D200" s="27">
        <f>1*1000</f>
        <v>1000</v>
      </c>
      <c r="E200" s="36"/>
      <c r="F200" s="27"/>
    </row>
    <row r="201" spans="1:6" s="45" customFormat="1" ht="12" x14ac:dyDescent="0.2">
      <c r="A201" s="28"/>
      <c r="B201" s="37"/>
      <c r="C201" s="18" t="s">
        <v>22</v>
      </c>
      <c r="D201" s="29">
        <f>SUM(D200)</f>
        <v>1000</v>
      </c>
      <c r="E201" s="36"/>
      <c r="F201" s="33"/>
    </row>
    <row r="202" spans="1:6" s="45" customFormat="1" ht="12" x14ac:dyDescent="0.2">
      <c r="A202" s="20"/>
      <c r="B202" s="26"/>
      <c r="C202" s="37"/>
      <c r="D202" s="27"/>
      <c r="E202" s="36"/>
      <c r="F202" s="27"/>
    </row>
    <row r="203" spans="1:6" s="45" customFormat="1" ht="12" x14ac:dyDescent="0.2">
      <c r="A203" s="20" t="s">
        <v>91</v>
      </c>
      <c r="B203" s="36"/>
      <c r="C203" s="37"/>
      <c r="D203" s="27"/>
      <c r="E203" s="36"/>
      <c r="F203" s="27"/>
    </row>
    <row r="204" spans="1:6" s="45" customFormat="1" ht="22.8" x14ac:dyDescent="0.2">
      <c r="A204" s="20"/>
      <c r="B204" s="26" t="s">
        <v>12</v>
      </c>
      <c r="C204" s="37" t="s">
        <v>165</v>
      </c>
      <c r="D204" s="27">
        <f>13.052566*1000</f>
        <v>13052.566000000001</v>
      </c>
      <c r="E204" s="36"/>
      <c r="F204" s="27"/>
    </row>
    <row r="205" spans="1:6" s="45" customFormat="1" ht="12" x14ac:dyDescent="0.2">
      <c r="A205" s="28"/>
      <c r="B205" s="37"/>
      <c r="C205" s="18" t="s">
        <v>22</v>
      </c>
      <c r="D205" s="29">
        <f>SUM(D204)</f>
        <v>13052.566000000001</v>
      </c>
      <c r="E205" s="36"/>
      <c r="F205" s="33"/>
    </row>
    <row r="206" spans="1:6" s="45" customFormat="1" ht="12" x14ac:dyDescent="0.2">
      <c r="A206" s="20"/>
      <c r="B206" s="26"/>
      <c r="C206" s="37"/>
      <c r="D206" s="27"/>
      <c r="E206" s="36"/>
      <c r="F206" s="27"/>
    </row>
    <row r="207" spans="1:6" s="45" customFormat="1" ht="12" x14ac:dyDescent="0.2">
      <c r="A207" s="20" t="s">
        <v>92</v>
      </c>
      <c r="B207" s="36"/>
      <c r="C207" s="37"/>
      <c r="D207" s="27"/>
      <c r="E207" s="36"/>
      <c r="F207" s="27"/>
    </row>
    <row r="208" spans="1:6" s="45" customFormat="1" ht="24" customHeight="1" x14ac:dyDescent="0.2">
      <c r="A208" s="20"/>
      <c r="B208" s="26" t="s">
        <v>6</v>
      </c>
      <c r="C208" s="37" t="s">
        <v>166</v>
      </c>
      <c r="D208" s="27"/>
      <c r="E208" s="36"/>
      <c r="F208" s="27">
        <f>3.8*1000</f>
        <v>3800</v>
      </c>
    </row>
    <row r="209" spans="1:6" s="45" customFormat="1" ht="12" x14ac:dyDescent="0.2">
      <c r="A209" s="20"/>
      <c r="B209" s="36" t="s">
        <v>5</v>
      </c>
      <c r="C209" s="37" t="s">
        <v>93</v>
      </c>
      <c r="D209" s="27"/>
      <c r="E209" s="36"/>
      <c r="F209" s="33">
        <f>9*1000</f>
        <v>9000</v>
      </c>
    </row>
    <row r="210" spans="1:6" s="45" customFormat="1" ht="12" x14ac:dyDescent="0.2">
      <c r="A210" s="28"/>
      <c r="B210" s="37"/>
      <c r="C210" s="18" t="s">
        <v>22</v>
      </c>
      <c r="D210" s="12"/>
      <c r="E210" s="36"/>
      <c r="F210" s="29">
        <f>SUM(F208:F209)</f>
        <v>12800</v>
      </c>
    </row>
    <row r="211" spans="1:6" s="45" customFormat="1" ht="12" x14ac:dyDescent="0.2">
      <c r="A211" s="20"/>
      <c r="B211" s="26"/>
      <c r="C211" s="37"/>
      <c r="D211" s="27"/>
      <c r="E211" s="36"/>
      <c r="F211" s="27"/>
    </row>
    <row r="212" spans="1:6" s="45" customFormat="1" ht="12" x14ac:dyDescent="0.2">
      <c r="A212" s="20" t="s">
        <v>11</v>
      </c>
      <c r="B212" s="36"/>
      <c r="C212" s="37"/>
      <c r="D212" s="27"/>
      <c r="E212" s="36"/>
      <c r="F212" s="27"/>
    </row>
    <row r="213" spans="1:6" s="45" customFormat="1" ht="22.8" x14ac:dyDescent="0.2">
      <c r="A213" s="20"/>
      <c r="B213" s="26" t="s">
        <v>44</v>
      </c>
      <c r="C213" s="37" t="s">
        <v>167</v>
      </c>
      <c r="D213" s="27">
        <f>8.073396*1000</f>
        <v>8073.3960000000006</v>
      </c>
      <c r="E213" s="36"/>
      <c r="F213" s="27"/>
    </row>
    <row r="214" spans="1:6" s="45" customFormat="1" ht="22.8" x14ac:dyDescent="0.2">
      <c r="A214" s="20"/>
      <c r="B214" s="36" t="s">
        <v>4</v>
      </c>
      <c r="C214" s="37" t="s">
        <v>125</v>
      </c>
      <c r="D214" s="27"/>
      <c r="E214" s="36"/>
      <c r="F214" s="33">
        <f>6.88*1000</f>
        <v>6880</v>
      </c>
    </row>
    <row r="215" spans="1:6" s="45" customFormat="1" ht="12" x14ac:dyDescent="0.2">
      <c r="A215" s="20"/>
      <c r="B215" s="36" t="s">
        <v>94</v>
      </c>
      <c r="C215" s="37" t="s">
        <v>100</v>
      </c>
      <c r="D215" s="27"/>
      <c r="E215" s="36"/>
      <c r="F215" s="27">
        <f>4.587156*1000</f>
        <v>4587.1559999999999</v>
      </c>
    </row>
    <row r="216" spans="1:6" s="45" customFormat="1" ht="12" customHeight="1" x14ac:dyDescent="0.2">
      <c r="A216" s="20"/>
      <c r="B216" s="36" t="s">
        <v>63</v>
      </c>
      <c r="C216" s="37" t="s">
        <v>99</v>
      </c>
      <c r="D216" s="27"/>
      <c r="E216" s="36"/>
      <c r="F216" s="27">
        <f>2.293578*1000</f>
        <v>2293.578</v>
      </c>
    </row>
    <row r="217" spans="1:6" s="45" customFormat="1" ht="22.8" x14ac:dyDescent="0.2">
      <c r="A217" s="20"/>
      <c r="B217" s="36" t="s">
        <v>12</v>
      </c>
      <c r="C217" s="37" t="s">
        <v>168</v>
      </c>
      <c r="D217" s="27">
        <f>1.278539*1000</f>
        <v>1278.539</v>
      </c>
      <c r="E217" s="36"/>
      <c r="F217" s="27"/>
    </row>
    <row r="218" spans="1:6" s="45" customFormat="1" ht="48" customHeight="1" x14ac:dyDescent="0.2">
      <c r="A218" s="20"/>
      <c r="B218" s="36" t="s">
        <v>12</v>
      </c>
      <c r="C218" s="37" t="s">
        <v>163</v>
      </c>
      <c r="D218" s="27">
        <f>2*1000</f>
        <v>2000</v>
      </c>
      <c r="E218" s="36"/>
      <c r="F218" s="33"/>
    </row>
    <row r="219" spans="1:6" s="45" customFormat="1" ht="12" customHeight="1" x14ac:dyDescent="0.2">
      <c r="A219" s="20"/>
      <c r="B219" s="36" t="s">
        <v>12</v>
      </c>
      <c r="C219" s="37" t="s">
        <v>95</v>
      </c>
      <c r="D219" s="27">
        <f>0.1835*1000</f>
        <v>183.5</v>
      </c>
      <c r="E219" s="36"/>
      <c r="F219" s="27"/>
    </row>
    <row r="220" spans="1:6" s="45" customFormat="1" ht="22.8" x14ac:dyDescent="0.2">
      <c r="A220" s="20"/>
      <c r="B220" s="36" t="s">
        <v>12</v>
      </c>
      <c r="C220" s="37" t="s">
        <v>169</v>
      </c>
      <c r="D220" s="27">
        <f>0.2*1000</f>
        <v>200</v>
      </c>
      <c r="E220" s="36"/>
      <c r="F220" s="33"/>
    </row>
    <row r="221" spans="1:6" s="45" customFormat="1" ht="22.8" x14ac:dyDescent="0.2">
      <c r="A221" s="20"/>
      <c r="B221" s="36" t="s">
        <v>12</v>
      </c>
      <c r="C221" s="37" t="s">
        <v>170</v>
      </c>
      <c r="D221" s="27">
        <f>0.137615*1000</f>
        <v>137.61499999999998</v>
      </c>
      <c r="E221" s="36"/>
      <c r="F221" s="33"/>
    </row>
    <row r="222" spans="1:6" s="45" customFormat="1" ht="12" x14ac:dyDescent="0.2">
      <c r="A222" s="28"/>
      <c r="B222" s="37"/>
      <c r="C222" s="18" t="s">
        <v>22</v>
      </c>
      <c r="D222" s="29">
        <f>SUM(D213:D221)</f>
        <v>11873.050000000001</v>
      </c>
      <c r="E222" s="36"/>
      <c r="F222" s="29">
        <f>SUM(F213:F221)</f>
        <v>13760.733999999999</v>
      </c>
    </row>
    <row r="223" spans="1:6" s="45" customFormat="1" ht="12" x14ac:dyDescent="0.2">
      <c r="A223" s="28"/>
      <c r="B223" s="37"/>
      <c r="C223" s="26"/>
      <c r="D223" s="16"/>
      <c r="E223" s="16"/>
      <c r="F223" s="16"/>
    </row>
    <row r="224" spans="1:6" s="45" customFormat="1" ht="12" x14ac:dyDescent="0.2">
      <c r="A224" s="20" t="s">
        <v>96</v>
      </c>
      <c r="B224" s="36"/>
      <c r="C224" s="37"/>
      <c r="D224" s="27"/>
      <c r="E224" s="36"/>
      <c r="F224" s="27"/>
    </row>
    <row r="225" spans="1:6" s="45" customFormat="1" ht="12" customHeight="1" x14ac:dyDescent="0.2">
      <c r="A225" s="20"/>
      <c r="B225" s="36" t="s">
        <v>6</v>
      </c>
      <c r="C225" s="37" t="s">
        <v>97</v>
      </c>
      <c r="D225" s="27">
        <f>0.5*1000</f>
        <v>500</v>
      </c>
      <c r="E225" s="36"/>
      <c r="F225" s="33"/>
    </row>
    <row r="226" spans="1:6" s="45" customFormat="1" ht="22.8" x14ac:dyDescent="0.2">
      <c r="A226" s="20"/>
      <c r="B226" s="36" t="s">
        <v>12</v>
      </c>
      <c r="C226" s="37" t="s">
        <v>171</v>
      </c>
      <c r="D226" s="27">
        <f>10.1*1000</f>
        <v>10100</v>
      </c>
      <c r="E226" s="36"/>
      <c r="F226" s="33"/>
    </row>
    <row r="227" spans="1:6" s="45" customFormat="1" ht="24" customHeight="1" x14ac:dyDescent="0.2">
      <c r="A227" s="20"/>
      <c r="B227" s="36" t="s">
        <v>12</v>
      </c>
      <c r="C227" s="37" t="s">
        <v>172</v>
      </c>
      <c r="D227" s="27">
        <f>0.25*1000</f>
        <v>250</v>
      </c>
      <c r="E227" s="36"/>
      <c r="F227" s="33"/>
    </row>
    <row r="228" spans="1:6" s="45" customFormat="1" ht="12" x14ac:dyDescent="0.2">
      <c r="A228" s="28"/>
      <c r="B228" s="37"/>
      <c r="C228" s="18" t="s">
        <v>22</v>
      </c>
      <c r="D228" s="29">
        <f>SUM(D225:D227)</f>
        <v>10850</v>
      </c>
      <c r="E228" s="36"/>
      <c r="F228" s="33"/>
    </row>
    <row r="229" spans="1:6" s="45" customFormat="1" ht="12" x14ac:dyDescent="0.2">
      <c r="A229" s="28"/>
      <c r="B229" s="37"/>
      <c r="C229" s="18"/>
      <c r="D229" s="12"/>
      <c r="E229" s="36"/>
      <c r="F229" s="33"/>
    </row>
    <row r="230" spans="1:6" s="45" customFormat="1" ht="12" x14ac:dyDescent="0.2">
      <c r="A230" s="20" t="s">
        <v>38</v>
      </c>
      <c r="B230" s="36"/>
      <c r="C230" s="37"/>
      <c r="D230" s="27"/>
      <c r="E230" s="36"/>
      <c r="F230" s="27"/>
    </row>
    <row r="231" spans="1:6" s="45" customFormat="1" ht="12.75" customHeight="1" x14ac:dyDescent="0.2">
      <c r="A231" s="20"/>
      <c r="B231" s="36" t="s">
        <v>6</v>
      </c>
      <c r="C231" s="37" t="s">
        <v>187</v>
      </c>
      <c r="D231" s="27"/>
      <c r="E231" s="36"/>
      <c r="F231" s="33">
        <f>5*1000</f>
        <v>5000</v>
      </c>
    </row>
    <row r="232" spans="1:6" s="45" customFormat="1" ht="36" x14ac:dyDescent="0.2">
      <c r="A232" s="20"/>
      <c r="B232" s="36" t="s">
        <v>12</v>
      </c>
      <c r="C232" s="37" t="s">
        <v>173</v>
      </c>
      <c r="D232" s="27">
        <f>0.7*1000</f>
        <v>700</v>
      </c>
      <c r="E232" s="36"/>
      <c r="F232" s="33"/>
    </row>
    <row r="233" spans="1:6" s="45" customFormat="1" ht="24.6" x14ac:dyDescent="0.2">
      <c r="A233" s="20"/>
      <c r="B233" s="36" t="s">
        <v>12</v>
      </c>
      <c r="C233" s="37" t="s">
        <v>174</v>
      </c>
      <c r="D233" s="27">
        <f>0.5*1000</f>
        <v>500</v>
      </c>
      <c r="E233" s="36"/>
      <c r="F233" s="33"/>
    </row>
    <row r="234" spans="1:6" s="45" customFormat="1" ht="24.6" x14ac:dyDescent="0.2">
      <c r="A234" s="20"/>
      <c r="B234" s="36" t="s">
        <v>12</v>
      </c>
      <c r="C234" s="37" t="s">
        <v>189</v>
      </c>
      <c r="D234" s="27">
        <f>1*1000</f>
        <v>1000</v>
      </c>
      <c r="E234" s="36"/>
      <c r="F234" s="33"/>
    </row>
    <row r="235" spans="1:6" s="45" customFormat="1" ht="12" x14ac:dyDescent="0.2">
      <c r="A235" s="28"/>
      <c r="B235" s="37"/>
      <c r="C235" s="18" t="s">
        <v>22</v>
      </c>
      <c r="D235" s="29">
        <f>SUM(D231:D234)</f>
        <v>2200</v>
      </c>
      <c r="E235" s="36"/>
      <c r="F235" s="29">
        <f>SUM(F231:F234)</f>
        <v>5000</v>
      </c>
    </row>
    <row r="236" spans="1:6" s="45" customFormat="1" ht="12" x14ac:dyDescent="0.2">
      <c r="A236" s="28"/>
      <c r="B236" s="37"/>
      <c r="C236" s="18"/>
      <c r="D236" s="27"/>
      <c r="E236" s="36"/>
      <c r="F236" s="27"/>
    </row>
    <row r="237" spans="1:6" s="45" customFormat="1" ht="12" x14ac:dyDescent="0.2">
      <c r="A237" s="13" t="s">
        <v>101</v>
      </c>
      <c r="B237" s="28"/>
      <c r="C237" s="26"/>
      <c r="D237" s="27"/>
      <c r="E237" s="28"/>
      <c r="F237" s="27"/>
    </row>
    <row r="238" spans="1:6" s="45" customFormat="1" ht="12" x14ac:dyDescent="0.2">
      <c r="A238" s="13"/>
      <c r="B238" s="28" t="s">
        <v>5</v>
      </c>
      <c r="C238" s="26" t="s">
        <v>57</v>
      </c>
      <c r="D238" s="27"/>
      <c r="E238" s="28"/>
      <c r="F238" s="27">
        <f>0.94*1000</f>
        <v>940</v>
      </c>
    </row>
    <row r="239" spans="1:6" s="45" customFormat="1" ht="12" x14ac:dyDescent="0.2">
      <c r="A239" s="28"/>
      <c r="B239" s="26"/>
      <c r="C239" s="18" t="s">
        <v>22</v>
      </c>
      <c r="D239" s="33"/>
      <c r="E239" s="28"/>
      <c r="F239" s="29">
        <f>SUM(F238)</f>
        <v>940</v>
      </c>
    </row>
    <row r="240" spans="1:6" s="45" customFormat="1" ht="12" x14ac:dyDescent="0.2">
      <c r="A240" s="28"/>
      <c r="B240" s="26"/>
      <c r="C240" s="18"/>
      <c r="D240" s="33"/>
      <c r="E240" s="28"/>
      <c r="F240" s="12"/>
    </row>
    <row r="241" spans="1:6" s="45" customFormat="1" ht="12" x14ac:dyDescent="0.2">
      <c r="A241" s="13" t="s">
        <v>16</v>
      </c>
      <c r="B241" s="28"/>
      <c r="C241" s="26"/>
      <c r="D241" s="27"/>
      <c r="E241" s="28"/>
      <c r="F241" s="27"/>
    </row>
    <row r="242" spans="1:6" s="45" customFormat="1" ht="22.8" x14ac:dyDescent="0.2">
      <c r="A242" s="13"/>
      <c r="B242" s="28" t="s">
        <v>53</v>
      </c>
      <c r="C242" s="26" t="s">
        <v>106</v>
      </c>
      <c r="D242" s="27"/>
      <c r="E242" s="28"/>
      <c r="F242" s="27">
        <f>14*1000</f>
        <v>14000</v>
      </c>
    </row>
    <row r="243" spans="1:6" s="45" customFormat="1" ht="22.8" x14ac:dyDescent="0.2">
      <c r="A243" s="13"/>
      <c r="B243" s="28" t="s">
        <v>45</v>
      </c>
      <c r="C243" s="26" t="s">
        <v>107</v>
      </c>
      <c r="D243" s="27"/>
      <c r="E243" s="28"/>
      <c r="F243" s="27">
        <f>26.5*1000</f>
        <v>26500</v>
      </c>
    </row>
    <row r="244" spans="1:6" s="45" customFormat="1" ht="12" x14ac:dyDescent="0.2">
      <c r="A244" s="28"/>
      <c r="B244" s="26"/>
      <c r="C244" s="18" t="s">
        <v>22</v>
      </c>
      <c r="D244" s="33"/>
      <c r="E244" s="28"/>
      <c r="F244" s="29">
        <f>SUM(F242:F243)</f>
        <v>40500</v>
      </c>
    </row>
    <row r="245" spans="1:6" ht="12" x14ac:dyDescent="0.2">
      <c r="A245" s="28"/>
      <c r="B245" s="26"/>
      <c r="C245" s="18"/>
      <c r="D245" s="33"/>
      <c r="E245" s="28"/>
      <c r="F245" s="12"/>
    </row>
    <row r="246" spans="1:6" ht="12" x14ac:dyDescent="0.2">
      <c r="A246" s="10"/>
      <c r="B246" s="39" t="s">
        <v>9</v>
      </c>
      <c r="C246" s="11"/>
      <c r="D246" s="23">
        <v>123644.91481000002</v>
      </c>
      <c r="E246" s="23"/>
      <c r="F246" s="23">
        <v>233956.234</v>
      </c>
    </row>
    <row r="247" spans="1:6" ht="3.75" customHeight="1" x14ac:dyDescent="0.2"/>
    <row r="248" spans="1:6" s="41" customFormat="1" ht="12" customHeight="1" x14ac:dyDescent="0.3">
      <c r="A248" s="41" t="s">
        <v>188</v>
      </c>
      <c r="B248" s="42"/>
      <c r="C248" s="42"/>
      <c r="D248" s="43"/>
      <c r="E248" s="44"/>
      <c r="F248" s="44"/>
    </row>
    <row r="249" spans="1:6" s="41" customFormat="1" ht="12" customHeight="1" x14ac:dyDescent="0.3">
      <c r="A249" s="41" t="s">
        <v>47</v>
      </c>
      <c r="B249" s="42"/>
      <c r="C249" s="42"/>
      <c r="D249" s="43"/>
      <c r="E249" s="44"/>
      <c r="F249" s="44"/>
    </row>
    <row r="250" spans="1:6" s="41" customFormat="1" ht="12" customHeight="1" x14ac:dyDescent="0.3">
      <c r="A250" s="55" t="s">
        <v>175</v>
      </c>
      <c r="B250" s="55"/>
      <c r="C250" s="55"/>
      <c r="D250" s="55"/>
      <c r="E250" s="55"/>
      <c r="F250" s="55"/>
    </row>
    <row r="251" spans="1:6" s="41" customFormat="1" ht="12" customHeight="1" x14ac:dyDescent="0.3">
      <c r="A251" s="40" t="s">
        <v>177</v>
      </c>
      <c r="B251" s="42"/>
      <c r="C251" s="42"/>
      <c r="D251" s="43"/>
      <c r="E251" s="44"/>
      <c r="F251" s="44"/>
    </row>
    <row r="252" spans="1:6" s="41" customFormat="1" ht="12" customHeight="1" x14ac:dyDescent="0.3">
      <c r="A252" s="40" t="s">
        <v>176</v>
      </c>
      <c r="B252" s="42"/>
      <c r="C252" s="42"/>
      <c r="D252" s="43"/>
      <c r="E252" s="44"/>
      <c r="F252" s="44"/>
    </row>
    <row r="253" spans="1:6" s="41" customFormat="1" x14ac:dyDescent="0.3">
      <c r="A253" s="40" t="s">
        <v>178</v>
      </c>
      <c r="B253" s="42"/>
      <c r="C253" s="42"/>
      <c r="D253" s="43"/>
      <c r="E253" s="44"/>
      <c r="F253" s="44"/>
    </row>
  </sheetData>
  <mergeCells count="11">
    <mergeCell ref="C9:C10"/>
    <mergeCell ref="D9:F9"/>
    <mergeCell ref="A9:B10"/>
    <mergeCell ref="A250:F250"/>
    <mergeCell ref="A77:C77"/>
    <mergeCell ref="A82:C82"/>
    <mergeCell ref="A190:C190"/>
    <mergeCell ref="A169:C169"/>
    <mergeCell ref="A145:C145"/>
    <mergeCell ref="A155:C155"/>
    <mergeCell ref="A65:C65"/>
  </mergeCells>
  <phoneticPr fontId="2" type="noConversion"/>
  <printOptions horizontalCentered="1"/>
  <pageMargins left="0.5" right="0.5" top="0.5" bottom="0.5" header="0.3" footer="0.3"/>
  <pageSetup fitToHeight="0" orientation="portrait" r:id="rId1"/>
  <headerFooter differentFirst="1">
    <oddHeader>&amp;L&amp;"Arial,Italic"&amp;8&amp;K000000continued</oddHeader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rowBreaks count="1" manualBreakCount="1"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projects involving sovereign grant cofinancing, 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DCE39-11A0-4A7A-AE74-51C2229FF395}">
  <ds:schemaRefs>
    <ds:schemaRef ds:uri="http://schemas.microsoft.com/office/2006/documentManagement/types"/>
    <ds:schemaRef ds:uri="c1fdd505-2570-46c2-bd04-3e0f2d874cf5"/>
    <ds:schemaRef ds:uri="http://schemas.microsoft.com/office/infopath/2007/PartnerControls"/>
    <ds:schemaRef ds:uri="2b4b9d8e-ecb2-49e1-a87e-51dfdfcaee7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b966b054-3674-4c4f-a2b0-6a3ffbe0790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91926C-1A26-4B51-8616-FE5696F8A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2B949-C526-4057-987B-585D72FE8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</vt:lpstr>
      <vt:lpstr>Grants!Print_Titles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Grant Cofinancing, 2022 ($ '000)</dc:title>
  <dc:subject/>
  <dc:creator>Asian Development Bank</dc:creator>
  <cp:keywords>annual report 2022, adb annual reports, adb operations 2022, adb operational data</cp:keywords>
  <cp:lastModifiedBy>Vanessa Bautista</cp:lastModifiedBy>
  <cp:lastPrinted>2023-03-28T08:55:48Z</cp:lastPrinted>
  <dcterms:created xsi:type="dcterms:W3CDTF">2013-01-07T02:15:48Z</dcterms:created>
  <dcterms:modified xsi:type="dcterms:W3CDTF">2023-04-17T05:55:19Z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2023-04-17T05:54:56Z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9dad2d46-58e1-48bf-b891-a51d463d5c8d</vt:lpwstr>
  </property>
  <property fmtid="{D5CDD505-2E9C-101B-9397-08002B2CF9AE}" pid="13" name="MSIP_Label_817d4574-7375-4d17-b29c-6e4c6df0fcb0_ContentBits">
    <vt:lpwstr>2</vt:lpwstr>
  </property>
</Properties>
</file>